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nrit\RKAS Pilv\FAO\LEPINGUD\YLEP 2019\RIIGIMAJADE lepingud\Kreutzwaldi 5\"/>
    </mc:Choice>
  </mc:AlternateContent>
  <xr:revisionPtr revIDLastSave="0" documentId="13_ncr:1_{8896EF21-B3B3-4DC9-9CE0-5589A61FFD5D}" xr6:coauthVersionLast="45" xr6:coauthVersionMax="45" xr10:uidLastSave="{00000000-0000-0000-0000-000000000000}"/>
  <bookViews>
    <workbookView xWindow="28680" yWindow="-225" windowWidth="29040" windowHeight="17640" activeTab="1" xr2:uid="{7E7B054B-506C-47DD-AF99-2757E5BF58AC}"/>
  </bookViews>
  <sheets>
    <sheet name="Lisa 6.1. C_ehitus" sheetId="6" r:id="rId1"/>
    <sheet name="Lisa 6.1 C_sisustus" sheetId="7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Aadress" localSheetId="1">#REF!</definedName>
    <definedName name="Aadress" localSheetId="0">#REF!</definedName>
    <definedName name="Aadress">#REF!</definedName>
    <definedName name="aadress_asukoha_analüüs" localSheetId="1">#REF!</definedName>
    <definedName name="aadress_asukoha_analüüs" localSheetId="0">#REF!</definedName>
    <definedName name="aadress_asukoha_analüüs">#REF!</definedName>
    <definedName name="aadress_asukohahinnang" localSheetId="1">#REF!</definedName>
    <definedName name="aadress_asukohahinnang" localSheetId="0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 localSheetId="1">#REF!</definedName>
    <definedName name="ALL" localSheetId="0">#REF!</definedName>
    <definedName name="ALL">#REF!</definedName>
    <definedName name="andmed" localSheetId="1">[3]hinnad!$F$3:$BQ$32</definedName>
    <definedName name="andmed" localSheetId="0">[2]hinnad!$F$3:$BQ$32</definedName>
    <definedName name="andmed">[2]hinnad!$F$3:$BQ$32</definedName>
    <definedName name="andmed_kogemus" localSheetId="1">[3]arendaja_haldaja_kogemus!$B$2:$P$16</definedName>
    <definedName name="andmed_kogemus" localSheetId="0">[2]arendaja_haldaja_kogemus!$B$2:$P$16</definedName>
    <definedName name="andmed_kogemus">[2]arendaja_haldaja_kogemus!$B$2:$P$16</definedName>
    <definedName name="andmed_ruumide_sobivus" localSheetId="1">[3]üürniku_hinnangud!$F$2:$L$31</definedName>
    <definedName name="andmed_ruumide_sobivus" localSheetId="0">[2]üürniku_hinnangud!$F$2:$L$31</definedName>
    <definedName name="andmed_ruumide_sobivus">[2]üürniku_hinnangud!$F$2:$L$31</definedName>
    <definedName name="brutopind" localSheetId="1">[4]eelarve!$F$9</definedName>
    <definedName name="brutopind" localSheetId="0">#REF!</definedName>
    <definedName name="brutopind">#REF!</definedName>
    <definedName name="disk.määr" localSheetId="1">[3]algandmed!$B$1</definedName>
    <definedName name="disk.määr" localSheetId="0">[2]algandmed!$B$1</definedName>
    <definedName name="disk.määr">[2]algandmed!$B$1</definedName>
    <definedName name="eelarve_kokku" localSheetId="1">[4]eelarve!$F$7</definedName>
    <definedName name="eelarve_kokku" localSheetId="0">#REF!</definedName>
    <definedName name="eelarve_kokku">#REF!</definedName>
    <definedName name="erikülgsednurkterased" localSheetId="1">#REF!</definedName>
    <definedName name="erikülgsednurkterased" localSheetId="0">#REF!</definedName>
    <definedName name="erikülgsednurkterased">#REF!</definedName>
    <definedName name="erikülgsednurkterased140" localSheetId="1">#REF!</definedName>
    <definedName name="erikülgsednurkterased140" localSheetId="0">#REF!</definedName>
    <definedName name="erikülgsednurkterased140">#REF!</definedName>
    <definedName name="erikülgsednurkterased70" localSheetId="1">#REF!</definedName>
    <definedName name="erikülgsednurkterased70" localSheetId="0">#REF!</definedName>
    <definedName name="erikülgsednurkterased70">#REF!</definedName>
    <definedName name="Etapp" localSheetId="1">#REF!</definedName>
    <definedName name="Etapp" localSheetId="0">#REF!</definedName>
    <definedName name="Etapp">#REF!</definedName>
    <definedName name="fi" localSheetId="1">#REF!</definedName>
    <definedName name="fi" localSheetId="0">#REF!</definedName>
    <definedName name="fi">#REF!</definedName>
    <definedName name="fiboseinad" localSheetId="1">#REF!</definedName>
    <definedName name="fiboseinad" localSheetId="0">#REF!</definedName>
    <definedName name="fiboseinad">#REF!</definedName>
    <definedName name="HEA" localSheetId="1">#REF!</definedName>
    <definedName name="HEA" localSheetId="0">#REF!</definedName>
    <definedName name="HEA">#REF!</definedName>
    <definedName name="HEB" localSheetId="1">#REF!</definedName>
    <definedName name="HEB" localSheetId="0">#REF!</definedName>
    <definedName name="HEB">#REF!</definedName>
    <definedName name="hind">[5]platsikulud!$C$2</definedName>
    <definedName name="hinnang_asukoha_analüüs" localSheetId="1">#REF!</definedName>
    <definedName name="hinnang_asukoha_analüüs" localSheetId="0">#REF!</definedName>
    <definedName name="hinnang_asukoha_analüüs">#REF!</definedName>
    <definedName name="IPE" localSheetId="1">#REF!</definedName>
    <definedName name="IPE" localSheetId="0">#REF!</definedName>
    <definedName name="IPE">#REF!</definedName>
    <definedName name="karkass" localSheetId="1">#REF!</definedName>
    <definedName name="karkass" localSheetId="0">#REF!</definedName>
    <definedName name="karkass">#REF!</definedName>
    <definedName name="karkassilisa" localSheetId="1">#REF!</definedName>
    <definedName name="karkassilisa" localSheetId="0">#REF!</definedName>
    <definedName name="karkassilisa">#REF!</definedName>
    <definedName name="katus" localSheetId="1">#REF!</definedName>
    <definedName name="katus" localSheetId="0">#REF!</definedName>
    <definedName name="katus">#REF!</definedName>
    <definedName name="kehtiv_IRR" localSheetId="1">[6]MUDEL!$BA$1</definedName>
    <definedName name="kehtiv_IRR" localSheetId="0">[6]MUDEL!$BA$1</definedName>
    <definedName name="kehtiv_IRR">[7]MUDEL!$BA$1</definedName>
    <definedName name="kestvus">[5]platsikulud!$C$3</definedName>
    <definedName name="kestvus2">[5]platsikulud!$G$7</definedName>
    <definedName name="kipsilisa" localSheetId="1">#REF!</definedName>
    <definedName name="kipsilisa" localSheetId="0">#REF!</definedName>
    <definedName name="kipsilisa">#REF!</definedName>
    <definedName name="kipsvaheseinad" localSheetId="1">#REF!</definedName>
    <definedName name="kipsvaheseinad" localSheetId="0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[8]Koostamine!$C$2</definedName>
    <definedName name="LISA" localSheetId="1">#REF!</definedName>
    <definedName name="LISA" localSheetId="0">#REF!</definedName>
    <definedName name="LISA">#REF!</definedName>
    <definedName name="lisakatuslagi" localSheetId="1">#REF!</definedName>
    <definedName name="lisakatuslagi" localSheetId="0">#REF!</definedName>
    <definedName name="lisakatuslagi">#REF!</definedName>
    <definedName name="ltasu" localSheetId="1">#REF!</definedName>
    <definedName name="ltasu" localSheetId="0">#REF!</definedName>
    <definedName name="ltasu">#REF!</definedName>
    <definedName name="Maksumus" localSheetId="1">[9]Absoluutaadr1!#REF!</definedName>
    <definedName name="Maksumus" localSheetId="0">[9]Absoluutaadr1!#REF!</definedName>
    <definedName name="Maksumus">[9]Absoluutaadr1!#REF!</definedName>
    <definedName name="maksuvaba" localSheetId="1">#REF!</definedName>
    <definedName name="maksuvaba" localSheetId="0">#REF!</definedName>
    <definedName name="maksuvaba">#REF!</definedName>
    <definedName name="max.parkimiskoha_maksumus" localSheetId="1">[3]algandmed!$B$2</definedName>
    <definedName name="max.parkimiskoha_maksumus" localSheetId="0">[2]algandmed!$B$2</definedName>
    <definedName name="max.parkimiskoha_maksumus">[2]algandmed!$B$2</definedName>
    <definedName name="mullatööd" localSheetId="1">#REF!</definedName>
    <definedName name="mullatööd" localSheetId="0">#REF!</definedName>
    <definedName name="mullatööd">#REF!</definedName>
    <definedName name="nelikanttoru" localSheetId="1">#REF!</definedName>
    <definedName name="nelikanttoru" localSheetId="0">#REF!</definedName>
    <definedName name="nelikanttoru">#REF!</definedName>
    <definedName name="nelikanttoru150" localSheetId="1">#REF!</definedName>
    <definedName name="nelikanttoru150" localSheetId="0">#REF!</definedName>
    <definedName name="nelikanttoru150">#REF!</definedName>
    <definedName name="nelikanttoru30" localSheetId="1">#REF!</definedName>
    <definedName name="nelikanttoru30" localSheetId="0">#REF!</definedName>
    <definedName name="nelikanttoru30">#REF!</definedName>
    <definedName name="Number">[8]Koostamine!$G$1</definedName>
    <definedName name="objekt" localSheetId="1">[3]hinnad!$E$3:$E$32</definedName>
    <definedName name="objekt" localSheetId="0">[2]hinnad!$E$3:$E$32</definedName>
    <definedName name="objekt">[2]hinnad!$E$3:$E$32</definedName>
    <definedName name="objekt_ruumide_sobivus" localSheetId="1">[3]üürniku_hinnangud!$E$2:$E$31</definedName>
    <definedName name="objekt_ruumide_sobivus" localSheetId="0">[2]üürniku_hinnangud!$E$2:$E$31</definedName>
    <definedName name="objekt_ruumide_sobivus">[2]üürniku_hinnangud!$E$2:$E$31</definedName>
    <definedName name="objekti_aadress" localSheetId="1">[4]eelarve!$F$6</definedName>
    <definedName name="objekti_aadress" localSheetId="0">#REF!</definedName>
    <definedName name="objekti_aadress">#REF!</definedName>
    <definedName name="pakkujad_kogemus" localSheetId="1">[3]arendaja_haldaja_kogemus!$A$2:$A$16</definedName>
    <definedName name="pakkujad_kogemus" localSheetId="0">[2]arendaja_haldaja_kogemus!$A$2:$A$16</definedName>
    <definedName name="pakkujad_kogemus">[2]arendaja_haldaja_kogemus!$A$2:$A$16</definedName>
    <definedName name="paneelsein" localSheetId="1">#REF!</definedName>
    <definedName name="paneelsein" localSheetId="0">#REF!</definedName>
    <definedName name="paneelsein">#REF!</definedName>
    <definedName name="paneelsein3" localSheetId="1">'[10]muld,vund'!#REF!</definedName>
    <definedName name="paneelsein3" localSheetId="0">'[10]muld,vund'!#REF!</definedName>
    <definedName name="paneelsein3">'[10]muld,vund'!#REF!</definedName>
    <definedName name="pealkirjad" localSheetId="1">[3]hinnad!$F$2:$BQ$2</definedName>
    <definedName name="pealkirjad" localSheetId="0">[2]hinnad!$F$2:$BQ$2</definedName>
    <definedName name="pealkirjad">[2]hinnad!$F$2:$BQ$2</definedName>
    <definedName name="pealkirjad_kogemus" localSheetId="1">[3]arendaja_haldaja_kogemus!$B$1:$P$1</definedName>
    <definedName name="pealkirjad_kogemus" localSheetId="0">[2]arendaja_haldaja_kogemus!$B$1:$P$1</definedName>
    <definedName name="pealkirjad_kogemus">[2]arendaja_haldaja_kogemus!$B$1:$P$1</definedName>
    <definedName name="pealkirjad_ruumide_sobivus" localSheetId="1">[3]üürniku_hinnangud!$F$1:$L$1</definedName>
    <definedName name="pealkirjad_ruumide_sobivus" localSheetId="0">[2]üürniku_hinnangud!$F$1:$L$1</definedName>
    <definedName name="pealkirjad_ruumide_sobivus">[2]üürniku_hinnangud!$F$1:$L$1</definedName>
    <definedName name="Periood" localSheetId="1">#REF!</definedName>
    <definedName name="Periood" localSheetId="0">#REF!</definedName>
    <definedName name="Periood">#REF!</definedName>
    <definedName name="plekkkatus" localSheetId="1">#REF!</definedName>
    <definedName name="plekkkatus" localSheetId="0">#REF!</definedName>
    <definedName name="plekkkatus">#REF!</definedName>
    <definedName name="plekksein" localSheetId="1">#REF!</definedName>
    <definedName name="plekksein" localSheetId="0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 localSheetId="1">#REF!</definedName>
    <definedName name="prognoos_ilma_meeskonna_ja_yldkuludeta" localSheetId="0">#REF!</definedName>
    <definedName name="prognoos_ilma_meeskonna_ja_yldkuludeta">#REF!</definedName>
    <definedName name="prognoos_ilma_yldkuludeta" localSheetId="1">#REF!</definedName>
    <definedName name="prognoos_ilma_yldkuludeta" localSheetId="0">#REF!</definedName>
    <definedName name="prognoos_ilma_yldkuludeta">#REF!</definedName>
    <definedName name="prognoos_ilma_yldkuludeta_kokku_rahavoos" localSheetId="1">#REF!</definedName>
    <definedName name="prognoos_ilma_yldkuludeta_kokku_rahavoos" localSheetId="0">#REF!</definedName>
    <definedName name="prognoos_ilma_yldkuludeta_kokku_rahavoos">#REF!</definedName>
    <definedName name="prognoos_kokku" localSheetId="1">#REF!</definedName>
    <definedName name="prognoos_kokku" localSheetId="0">#REF!</definedName>
    <definedName name="prognoos_kokku">#REF!</definedName>
    <definedName name="prognoos_kokku_koos_sissevool" localSheetId="1">#REF!</definedName>
    <definedName name="prognoos_kokku_koos_sissevool" localSheetId="0">#REF!</definedName>
    <definedName name="prognoos_kokku_koos_sissevool">#REF!</definedName>
    <definedName name="prognoosi_muutmise_aeg" localSheetId="1">[11]algne_eelarve_prognoosiga!#REF!</definedName>
    <definedName name="prognoosi_muutmise_aeg" localSheetId="0">#REF!</definedName>
    <definedName name="prognoosi_muutmise_aeg">#REF!</definedName>
    <definedName name="prognoosi_periood" localSheetId="1">#REF!</definedName>
    <definedName name="prognoosi_periood" localSheetId="0">#REF!</definedName>
    <definedName name="prognoosi_periood">#REF!</definedName>
    <definedName name="projekti_nimi" localSheetId="1">[4]eelarve!$F$4</definedName>
    <definedName name="projekti_nimi" localSheetId="0">#REF!</definedName>
    <definedName name="projekti_nimi">#REF!</definedName>
    <definedName name="projekti_nr" localSheetId="1">[4]eelarve!$F$5</definedName>
    <definedName name="projekti_nr" localSheetId="0">#REF!</definedName>
    <definedName name="projekti_nr">#REF!</definedName>
    <definedName name="protsent" localSheetId="1">#REF!</definedName>
    <definedName name="protsent" localSheetId="0">#REF!</definedName>
    <definedName name="protsent">#REF!</definedName>
    <definedName name="punktid_asukohahinnang" localSheetId="1">#REF!</definedName>
    <definedName name="punktid_asukohahinnang" localSheetId="0">#REF!</definedName>
    <definedName name="punktid_asukohahinnang">#REF!</definedName>
    <definedName name="põrand" localSheetId="1">#REF!</definedName>
    <definedName name="põrand" localSheetId="0">#REF!</definedName>
    <definedName name="põrand">#REF!</definedName>
    <definedName name="Reserv" localSheetId="1">#REF!</definedName>
    <definedName name="Reserv" localSheetId="0">#REF!</definedName>
    <definedName name="Reserv">#REF!</definedName>
    <definedName name="seinad" localSheetId="1">#REF!</definedName>
    <definedName name="seinad" localSheetId="0">#REF!</definedName>
    <definedName name="seinad">#REF!</definedName>
    <definedName name="seintelisa" localSheetId="1">#REF!</definedName>
    <definedName name="seintelisa" localSheetId="0">#REF!</definedName>
    <definedName name="seintelisa">#REF!</definedName>
    <definedName name="siseviimistlus" localSheetId="1">#REF!</definedName>
    <definedName name="siseviimistlus" localSheetId="0">#REF!</definedName>
    <definedName name="siseviimistlus">#REF!</definedName>
    <definedName name="sissevool" localSheetId="1">#REF!</definedName>
    <definedName name="sissevool" localSheetId="0">#REF!</definedName>
    <definedName name="sissevool">#REF!</definedName>
    <definedName name="SOTS" localSheetId="1">#REF!</definedName>
    <definedName name="SOTS" localSheetId="0">#REF!</definedName>
    <definedName name="SOTS">#REF!</definedName>
    <definedName name="suletud_netopind" localSheetId="1">[4]eelarve!$F$8</definedName>
    <definedName name="suletud_netopind" localSheetId="0">#REF!</definedName>
    <definedName name="suletud_netopind">#REF!</definedName>
    <definedName name="Tabel" localSheetId="1">#REF!</definedName>
    <definedName name="Tabel" localSheetId="0">#REF!</definedName>
    <definedName name="Tabel">#REF!</definedName>
    <definedName name="tala" localSheetId="1">#REF!</definedName>
    <definedName name="tala" localSheetId="0">#REF!</definedName>
    <definedName name="tala">#REF!</definedName>
    <definedName name="TASU" localSheetId="1">#REF!</definedName>
    <definedName name="TASU" localSheetId="0">#REF!</definedName>
    <definedName name="TASU">#REF!</definedName>
    <definedName name="teg">OFFSET('[1]Graafiku jaoks'!$B$2,0,'[1]Graafiku jaoks'!$D$17,1,'[1]Graafiku jaoks'!$D$20)</definedName>
    <definedName name="Tehnoloog">[8]Koostamine!$D$3</definedName>
    <definedName name="Tellija">[8]Koostamine!$G$2</definedName>
    <definedName name="tellisseinad" localSheetId="1">#REF!</definedName>
    <definedName name="tellisseinad" localSheetId="0">#REF!</definedName>
    <definedName name="tellisseinad">#REF!</definedName>
    <definedName name="terastalad" localSheetId="1">#REF!</definedName>
    <definedName name="terastalad" localSheetId="0">#REF!</definedName>
    <definedName name="terastalad">#REF!</definedName>
    <definedName name="Toode">[8]Koostamine!$G$3</definedName>
    <definedName name="TRANS" localSheetId="1">#REF!</definedName>
    <definedName name="TRANS" localSheetId="0">#REF!</definedName>
    <definedName name="TRANS">#REF!</definedName>
    <definedName name="Uus" localSheetId="1">#REF!</definedName>
    <definedName name="Uus" localSheetId="0">#REF!</definedName>
    <definedName name="Uus">#REF!</definedName>
    <definedName name="v" localSheetId="1">#REF!</definedName>
    <definedName name="v" localSheetId="0">#REF!</definedName>
    <definedName name="v">#REF!</definedName>
    <definedName name="vahelagi" localSheetId="1">#REF!</definedName>
    <definedName name="vahelagi" localSheetId="0">#REF!</definedName>
    <definedName name="vahelagi">#REF!</definedName>
    <definedName name="Veel" localSheetId="1">#REF!</definedName>
    <definedName name="Veel" localSheetId="0">#REF!</definedName>
    <definedName name="Veel">#REF!</definedName>
    <definedName name="vundamendilisa" localSheetId="1">#REF!</definedName>
    <definedName name="vundamendilisa" localSheetId="0">#REF!</definedName>
    <definedName name="vundamendilisa">#REF!</definedName>
    <definedName name="vundament" localSheetId="1">#REF!</definedName>
    <definedName name="vundament" localSheetId="0">#REF!</definedName>
    <definedName name="vundament">#REF!</definedName>
    <definedName name="vundamentlisa" localSheetId="1">#REF!</definedName>
    <definedName name="vundamentlisa" localSheetId="0">#REF!</definedName>
    <definedName name="vundamentlisa">#REF!</definedName>
    <definedName name="võrdkülgsednurkterased" localSheetId="1">#REF!</definedName>
    <definedName name="võrdkülgsednurkterased" localSheetId="0">#REF!</definedName>
    <definedName name="võrdkülgsednurkterased">#REF!</definedName>
    <definedName name="võrdkülgsednurkterased50" localSheetId="1">#REF!</definedName>
    <definedName name="võrdkülgsednurkterased50" localSheetId="0">#REF!</definedName>
    <definedName name="võrdkülgsednurkterased5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7" i="7" l="1"/>
  <c r="T30" i="7"/>
  <c r="R29" i="7"/>
  <c r="P29" i="7"/>
  <c r="N29" i="7"/>
  <c r="L29" i="7"/>
  <c r="J29" i="7"/>
  <c r="Y29" i="7" s="1"/>
  <c r="C29" i="7"/>
  <c r="E29" i="7" s="1"/>
  <c r="Y28" i="7"/>
  <c r="R28" i="7"/>
  <c r="P28" i="7"/>
  <c r="N28" i="7"/>
  <c r="L28" i="7"/>
  <c r="J28" i="7"/>
  <c r="E28" i="7"/>
  <c r="C28" i="7"/>
  <c r="R27" i="7"/>
  <c r="P27" i="7"/>
  <c r="N27" i="7"/>
  <c r="L27" i="7"/>
  <c r="J27" i="7"/>
  <c r="Y27" i="7" s="1"/>
  <c r="C27" i="7"/>
  <c r="E27" i="7" s="1"/>
  <c r="Y26" i="7"/>
  <c r="R26" i="7"/>
  <c r="P26" i="7"/>
  <c r="N26" i="7"/>
  <c r="L26" i="7"/>
  <c r="J26" i="7"/>
  <c r="E26" i="7"/>
  <c r="C26" i="7"/>
  <c r="R25" i="7"/>
  <c r="P25" i="7"/>
  <c r="N25" i="7"/>
  <c r="L25" i="7"/>
  <c r="J25" i="7"/>
  <c r="Y25" i="7" s="1"/>
  <c r="C25" i="7"/>
  <c r="E25" i="7" s="1"/>
  <c r="Y24" i="7"/>
  <c r="R24" i="7"/>
  <c r="P24" i="7"/>
  <c r="N24" i="7"/>
  <c r="L24" i="7"/>
  <c r="J24" i="7"/>
  <c r="E24" i="7"/>
  <c r="C24" i="7"/>
  <c r="R23" i="7"/>
  <c r="P23" i="7"/>
  <c r="N23" i="7"/>
  <c r="L23" i="7"/>
  <c r="J23" i="7"/>
  <c r="Y23" i="7" s="1"/>
  <c r="C23" i="7"/>
  <c r="E23" i="7" s="1"/>
  <c r="Y22" i="7"/>
  <c r="R22" i="7"/>
  <c r="P22" i="7"/>
  <c r="N22" i="7"/>
  <c r="L22" i="7"/>
  <c r="J22" i="7"/>
  <c r="E22" i="7"/>
  <c r="C22" i="7"/>
  <c r="R21" i="7"/>
  <c r="P21" i="7"/>
  <c r="N21" i="7"/>
  <c r="L21" i="7"/>
  <c r="J21" i="7"/>
  <c r="Y21" i="7" s="1"/>
  <c r="C21" i="7"/>
  <c r="E21" i="7" s="1"/>
  <c r="Y20" i="7"/>
  <c r="R20" i="7"/>
  <c r="P20" i="7"/>
  <c r="N20" i="7"/>
  <c r="L20" i="7"/>
  <c r="J20" i="7"/>
  <c r="E20" i="7"/>
  <c r="C20" i="7"/>
  <c r="R19" i="7"/>
  <c r="P19" i="7"/>
  <c r="N19" i="7"/>
  <c r="L19" i="7"/>
  <c r="J19" i="7"/>
  <c r="Y19" i="7" s="1"/>
  <c r="C19" i="7"/>
  <c r="E19" i="7" s="1"/>
  <c r="Y18" i="7"/>
  <c r="R18" i="7"/>
  <c r="P18" i="7"/>
  <c r="N18" i="7"/>
  <c r="L18" i="7"/>
  <c r="J18" i="7"/>
  <c r="E18" i="7"/>
  <c r="C18" i="7"/>
  <c r="R17" i="7"/>
  <c r="P17" i="7"/>
  <c r="N17" i="7"/>
  <c r="L17" i="7"/>
  <c r="J17" i="7"/>
  <c r="Y17" i="7" s="1"/>
  <c r="C17" i="7"/>
  <c r="E17" i="7" s="1"/>
  <c r="Y16" i="7"/>
  <c r="R16" i="7"/>
  <c r="P16" i="7"/>
  <c r="N16" i="7"/>
  <c r="L16" i="7"/>
  <c r="J16" i="7"/>
  <c r="E16" i="7"/>
  <c r="C16" i="7"/>
  <c r="R15" i="7"/>
  <c r="P15" i="7"/>
  <c r="N15" i="7"/>
  <c r="L15" i="7"/>
  <c r="J15" i="7"/>
  <c r="Y15" i="7" s="1"/>
  <c r="C15" i="7"/>
  <c r="E15" i="7" s="1"/>
  <c r="Y14" i="7"/>
  <c r="R14" i="7"/>
  <c r="P14" i="7"/>
  <c r="N14" i="7"/>
  <c r="L14" i="7"/>
  <c r="J14" i="7"/>
  <c r="E14" i="7"/>
  <c r="C14" i="7"/>
  <c r="R13" i="7"/>
  <c r="P13" i="7"/>
  <c r="N13" i="7"/>
  <c r="L13" i="7"/>
  <c r="J13" i="7"/>
  <c r="Y13" i="7" s="1"/>
  <c r="C13" i="7"/>
  <c r="E13" i="7" s="1"/>
  <c r="Y12" i="7"/>
  <c r="R12" i="7"/>
  <c r="P12" i="7"/>
  <c r="N12" i="7"/>
  <c r="L12" i="7"/>
  <c r="J12" i="7"/>
  <c r="C12" i="7"/>
  <c r="E12" i="7" s="1"/>
  <c r="R11" i="7"/>
  <c r="P11" i="7"/>
  <c r="N11" i="7"/>
  <c r="L11" i="7"/>
  <c r="J11" i="7"/>
  <c r="Y11" i="7" s="1"/>
  <c r="C11" i="7"/>
  <c r="E11" i="7" s="1"/>
  <c r="W10" i="7"/>
  <c r="V10" i="7"/>
  <c r="P10" i="7"/>
  <c r="N10" i="7"/>
  <c r="AA10" i="7" s="1"/>
  <c r="L10" i="7"/>
  <c r="Z10" i="7" s="1"/>
  <c r="J10" i="7"/>
  <c r="Y10" i="7" s="1"/>
  <c r="C10" i="7"/>
  <c r="E10" i="7" s="1"/>
  <c r="Y9" i="7"/>
  <c r="R9" i="7"/>
  <c r="P9" i="7"/>
  <c r="N9" i="7"/>
  <c r="L9" i="7"/>
  <c r="J9" i="7"/>
  <c r="E9" i="7"/>
  <c r="C9" i="7"/>
  <c r="R8" i="7"/>
  <c r="P8" i="7"/>
  <c r="N8" i="7"/>
  <c r="L8" i="7"/>
  <c r="J8" i="7"/>
  <c r="Y8" i="7" s="1"/>
  <c r="C8" i="7"/>
  <c r="E8" i="7" s="1"/>
  <c r="R7" i="7"/>
  <c r="P7" i="7"/>
  <c r="N7" i="7"/>
  <c r="N30" i="7" s="1"/>
  <c r="L7" i="7"/>
  <c r="J7" i="7"/>
  <c r="E7" i="7"/>
  <c r="C7" i="7"/>
  <c r="V22" i="7" l="1"/>
  <c r="AA22" i="7" s="1"/>
  <c r="W27" i="7"/>
  <c r="AB27" i="7" s="1"/>
  <c r="P30" i="7"/>
  <c r="W8" i="7"/>
  <c r="AB8" i="7" s="1"/>
  <c r="V8" i="7"/>
  <c r="AA8" i="7" s="1"/>
  <c r="AB12" i="7"/>
  <c r="V14" i="7"/>
  <c r="AA14" i="7" s="1"/>
  <c r="W19" i="7"/>
  <c r="AB19" i="7" s="1"/>
  <c r="V19" i="7"/>
  <c r="J30" i="7"/>
  <c r="R30" i="7"/>
  <c r="L30" i="7"/>
  <c r="AB10" i="7"/>
  <c r="N33" i="7"/>
  <c r="E30" i="7"/>
  <c r="X10" i="7"/>
  <c r="W11" i="7"/>
  <c r="AB11" i="7" s="1"/>
  <c r="AA19" i="7"/>
  <c r="W13" i="7"/>
  <c r="AB13" i="7" s="1"/>
  <c r="V16" i="7"/>
  <c r="AA16" i="7" s="1"/>
  <c r="W17" i="7"/>
  <c r="AB17" i="7" s="1"/>
  <c r="W21" i="7"/>
  <c r="AB21" i="7" s="1"/>
  <c r="W25" i="7"/>
  <c r="AB25" i="7" s="1"/>
  <c r="W29" i="7"/>
  <c r="AB29" i="7" s="1"/>
  <c r="W12" i="7"/>
  <c r="Y7" i="7"/>
  <c r="Y30" i="7" s="1"/>
  <c r="D65" i="6"/>
  <c r="D60" i="6"/>
  <c r="F59" i="6"/>
  <c r="H58" i="6"/>
  <c r="H57" i="6" s="1"/>
  <c r="E57" i="6"/>
  <c r="D57" i="6"/>
  <c r="H56" i="6"/>
  <c r="H55" i="6"/>
  <c r="H54" i="6"/>
  <c r="D52" i="6"/>
  <c r="D51" i="6" s="1"/>
  <c r="H51" i="6"/>
  <c r="G51" i="6"/>
  <c r="E51" i="6"/>
  <c r="E59" i="6" s="1"/>
  <c r="U16" i="6" s="1"/>
  <c r="H50" i="6"/>
  <c r="H49" i="6"/>
  <c r="H48" i="6"/>
  <c r="H47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D32" i="6"/>
  <c r="H31" i="6"/>
  <c r="H30" i="6"/>
  <c r="H29" i="6"/>
  <c r="H28" i="6" s="1"/>
  <c r="H27" i="6" s="1"/>
  <c r="G28" i="6"/>
  <c r="D28" i="6"/>
  <c r="D27" i="6"/>
  <c r="H26" i="6"/>
  <c r="H25" i="6" s="1"/>
  <c r="D25" i="6"/>
  <c r="U11" i="6" s="1"/>
  <c r="H24" i="6"/>
  <c r="H23" i="6"/>
  <c r="H22" i="6"/>
  <c r="H21" i="6"/>
  <c r="D21" i="6"/>
  <c r="H20" i="6"/>
  <c r="H19" i="6"/>
  <c r="H18" i="6"/>
  <c r="H17" i="6"/>
  <c r="H16" i="6"/>
  <c r="H15" i="6"/>
  <c r="U14" i="6"/>
  <c r="H14" i="6"/>
  <c r="H13" i="6"/>
  <c r="H12" i="6" s="1"/>
  <c r="D12" i="6"/>
  <c r="H11" i="6"/>
  <c r="O9" i="6"/>
  <c r="P14" i="6" s="1"/>
  <c r="H10" i="6"/>
  <c r="D10" i="6"/>
  <c r="S9" i="6"/>
  <c r="Q9" i="6"/>
  <c r="R14" i="6" s="1"/>
  <c r="M9" i="6"/>
  <c r="N14" i="6" s="1"/>
  <c r="D9" i="6"/>
  <c r="D59" i="6" l="1"/>
  <c r="L34" i="7"/>
  <c r="L33" i="7"/>
  <c r="V18" i="7"/>
  <c r="AA18" i="7" s="1"/>
  <c r="V27" i="7"/>
  <c r="AA27" i="7" s="1"/>
  <c r="V28" i="7"/>
  <c r="AA28" i="7" s="1"/>
  <c r="V20" i="7"/>
  <c r="AA20" i="7" s="1"/>
  <c r="V15" i="7"/>
  <c r="AA15" i="7" s="1"/>
  <c r="V26" i="7"/>
  <c r="AA26" i="7" s="1"/>
  <c r="W28" i="7"/>
  <c r="AB28" i="7" s="1"/>
  <c r="W24" i="7"/>
  <c r="AB24" i="7" s="1"/>
  <c r="W20" i="7"/>
  <c r="AB20" i="7" s="1"/>
  <c r="W16" i="7"/>
  <c r="AB16" i="7" s="1"/>
  <c r="W9" i="7"/>
  <c r="AB9" i="7" s="1"/>
  <c r="W26" i="7"/>
  <c r="AB26" i="7" s="1"/>
  <c r="W7" i="7"/>
  <c r="W22" i="7"/>
  <c r="AB22" i="7" s="1"/>
  <c r="W14" i="7"/>
  <c r="AB14" i="7" s="1"/>
  <c r="W18" i="7"/>
  <c r="AB18" i="7" s="1"/>
  <c r="W23" i="7"/>
  <c r="AB23" i="7" s="1"/>
  <c r="W15" i="7"/>
  <c r="AB15" i="7" s="1"/>
  <c r="R33" i="7"/>
  <c r="R34" i="7"/>
  <c r="V12" i="7"/>
  <c r="AA12" i="7" s="1"/>
  <c r="V9" i="7"/>
  <c r="AA9" i="7" s="1"/>
  <c r="V29" i="7"/>
  <c r="AA29" i="7" s="1"/>
  <c r="V25" i="7"/>
  <c r="AA25" i="7" s="1"/>
  <c r="V21" i="7"/>
  <c r="AA21" i="7" s="1"/>
  <c r="V17" i="7"/>
  <c r="AA17" i="7" s="1"/>
  <c r="V13" i="7"/>
  <c r="AA13" i="7" s="1"/>
  <c r="V24" i="7"/>
  <c r="AA24" i="7" s="1"/>
  <c r="V23" i="7"/>
  <c r="AA23" i="7" s="1"/>
  <c r="V11" i="7"/>
  <c r="AA11" i="7" s="1"/>
  <c r="E31" i="7"/>
  <c r="N34" i="7"/>
  <c r="J34" i="7"/>
  <c r="J33" i="7"/>
  <c r="P33" i="7"/>
  <c r="P34" i="7"/>
  <c r="T14" i="6"/>
  <c r="P11" i="6"/>
  <c r="N11" i="6"/>
  <c r="R11" i="6"/>
  <c r="T11" i="6"/>
  <c r="P16" i="6"/>
  <c r="N16" i="6"/>
  <c r="T16" i="6"/>
  <c r="R16" i="6"/>
  <c r="D63" i="6"/>
  <c r="D62" i="6" s="1"/>
  <c r="U13" i="6" s="1"/>
  <c r="U10" i="6"/>
  <c r="H9" i="6"/>
  <c r="H59" i="6" s="1"/>
  <c r="U17" i="6" s="1"/>
  <c r="H53" i="6"/>
  <c r="Z29" i="7" l="1"/>
  <c r="N31" i="7"/>
  <c r="N32" i="7" s="1"/>
  <c r="L31" i="7"/>
  <c r="L32" i="7" s="1"/>
  <c r="R31" i="7"/>
  <c r="J31" i="7"/>
  <c r="J32" i="7" s="1"/>
  <c r="P31" i="7"/>
  <c r="P32" i="7" s="1"/>
  <c r="Y33" i="7"/>
  <c r="T33" i="7"/>
  <c r="E32" i="7"/>
  <c r="V30" i="7"/>
  <c r="AA7" i="7"/>
  <c r="AA30" i="7" s="1"/>
  <c r="AA33" i="7" s="1"/>
  <c r="Y34" i="7"/>
  <c r="W30" i="7"/>
  <c r="AB7" i="7"/>
  <c r="AB30" i="7" s="1"/>
  <c r="R17" i="6"/>
  <c r="P17" i="6"/>
  <c r="T17" i="6"/>
  <c r="N17" i="6"/>
  <c r="R13" i="6"/>
  <c r="T13" i="6"/>
  <c r="P13" i="6"/>
  <c r="N13" i="6"/>
  <c r="R10" i="6"/>
  <c r="R12" i="6" s="1"/>
  <c r="R15" i="6" s="1"/>
  <c r="T10" i="6"/>
  <c r="T12" i="6" s="1"/>
  <c r="T15" i="6" s="1"/>
  <c r="P10" i="6"/>
  <c r="P12" i="6" s="1"/>
  <c r="P15" i="6" s="1"/>
  <c r="U12" i="6"/>
  <c r="N10" i="6"/>
  <c r="N12" i="6" s="1"/>
  <c r="D64" i="6"/>
  <c r="Z25" i="7" l="1"/>
  <c r="X25" i="7"/>
  <c r="X16" i="7"/>
  <c r="Z16" i="7"/>
  <c r="Z14" i="7"/>
  <c r="X14" i="7"/>
  <c r="Z24" i="7"/>
  <c r="X24" i="7"/>
  <c r="E35" i="7"/>
  <c r="E36" i="7" s="1"/>
  <c r="Z21" i="7"/>
  <c r="X21" i="7"/>
  <c r="X11" i="7"/>
  <c r="Z11" i="7"/>
  <c r="Z19" i="7"/>
  <c r="X19" i="7"/>
  <c r="X12" i="7"/>
  <c r="Z12" i="7"/>
  <c r="Z22" i="7"/>
  <c r="X22" i="7"/>
  <c r="Z27" i="7"/>
  <c r="X27" i="7"/>
  <c r="Z13" i="7"/>
  <c r="X13" i="7"/>
  <c r="Z8" i="7"/>
  <c r="X8" i="7"/>
  <c r="Z20" i="7"/>
  <c r="X20" i="7"/>
  <c r="Z26" i="7"/>
  <c r="X26" i="7"/>
  <c r="AB34" i="7"/>
  <c r="AB33" i="7"/>
  <c r="U30" i="7"/>
  <c r="X7" i="7"/>
  <c r="Z7" i="7"/>
  <c r="Z23" i="7"/>
  <c r="X23" i="7"/>
  <c r="AA34" i="7"/>
  <c r="W33" i="7"/>
  <c r="V33" i="7"/>
  <c r="V31" i="7"/>
  <c r="V32" i="7" s="1"/>
  <c r="Y31" i="7"/>
  <c r="Y32" i="7" s="1"/>
  <c r="T31" i="7"/>
  <c r="T32" i="7" s="1"/>
  <c r="AA31" i="7"/>
  <c r="AA32" i="7" s="1"/>
  <c r="AB31" i="7"/>
  <c r="AB32" i="7" s="1"/>
  <c r="W31" i="7"/>
  <c r="W32" i="7" s="1"/>
  <c r="R32" i="7"/>
  <c r="Z17" i="7"/>
  <c r="X17" i="7"/>
  <c r="Z15" i="7"/>
  <c r="X15" i="7"/>
  <c r="Z9" i="7"/>
  <c r="X9" i="7"/>
  <c r="Z18" i="7"/>
  <c r="X18" i="7"/>
  <c r="X28" i="7"/>
  <c r="Z28" i="7"/>
  <c r="N15" i="6"/>
  <c r="U15" i="6"/>
  <c r="D69" i="6"/>
  <c r="D68" i="6" s="1"/>
  <c r="D67" i="6"/>
  <c r="D70" i="6" s="1"/>
  <c r="U33" i="7" l="1"/>
  <c r="U31" i="7"/>
  <c r="U32" i="7" s="1"/>
  <c r="Z30" i="7"/>
  <c r="Z33" i="7" l="1"/>
  <c r="Z34" i="7"/>
  <c r="Z31" i="7"/>
  <c r="Z32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L6" authorId="0" shapeId="0" xr:uid="{68B1346B-9646-40FD-98AF-5FD6786F57EF}">
      <text>
        <r>
          <rPr>
            <b/>
            <sz val="9"/>
            <color indexed="81"/>
            <rFont val="Tahoma"/>
            <family val="2"/>
            <charset val="186"/>
          </rPr>
          <t xml:space="preserve">Andrus Gatski:
</t>
        </r>
        <r>
          <rPr>
            <sz val="9"/>
            <color indexed="81"/>
            <rFont val="Tahoma"/>
            <family val="2"/>
            <charset val="186"/>
          </rPr>
          <t>EGT kasutuses on C korpuses ainult garaažid</t>
        </r>
      </text>
    </comment>
  </commentList>
</comments>
</file>

<file path=xl/sharedStrings.xml><?xml version="1.0" encoding="utf-8"?>
<sst xmlns="http://schemas.openxmlformats.org/spreadsheetml/2006/main" count="255" uniqueCount="178">
  <si>
    <t>Lisa nr 1</t>
  </si>
  <si>
    <t>Ekplikatsioon</t>
  </si>
  <si>
    <t>Üürilepingu nr Üxxxxx/xx  lisale nr x.x</t>
  </si>
  <si>
    <t>Jrk
nr</t>
  </si>
  <si>
    <t>Eeldatav maksumus, EUR, km-ta</t>
  </si>
  <si>
    <t>Üürnikuspetsiifiline osa ehitusest</t>
  </si>
  <si>
    <t>Üürnikuspetsiifiline osa sisustusest</t>
  </si>
  <si>
    <t>Üle 10a amort</t>
  </si>
  <si>
    <t>Jääkväärtus 10a lõpus</t>
  </si>
  <si>
    <t>INVESTEERINGU JAGUNEMINE:</t>
  </si>
  <si>
    <t>EGT osakaal pinnast</t>
  </si>
  <si>
    <t>Üürnik</t>
  </si>
  <si>
    <t>Ainukasutuses pind</t>
  </si>
  <si>
    <t>Ühiskasutuses korruste pind</t>
  </si>
  <si>
    <t>Ühiskasutuses hoone pind</t>
  </si>
  <si>
    <t>Ühiskasutuses muu pind</t>
  </si>
  <si>
    <t>Kokku</t>
  </si>
  <si>
    <t>Osakaal</t>
  </si>
  <si>
    <t>ARENDUSTEGEVUS</t>
  </si>
  <si>
    <t>Eesti Geoloogiateenistus</t>
  </si>
  <si>
    <t>Kinnisvara omandamise ja väärtustamise kulud</t>
  </si>
  <si>
    <t>Ehitus</t>
  </si>
  <si>
    <t>1.1.</t>
  </si>
  <si>
    <t>x</t>
  </si>
  <si>
    <t>Projektijuhtimine</t>
  </si>
  <si>
    <t>Tellija muud arendusaegsed kulud; va intress</t>
  </si>
  <si>
    <t>Ehitus + Projektijuhtimise otsene kulu</t>
  </si>
  <si>
    <t>2.1.</t>
  </si>
  <si>
    <t>Omanikujärelevalve</t>
  </si>
  <si>
    <t>Projektijuhtimise kaudne kulu</t>
  </si>
  <si>
    <t>2.2.</t>
  </si>
  <si>
    <t>Lubade taotlemisega seotud kulud</t>
  </si>
  <si>
    <t>Intress</t>
  </si>
  <si>
    <t>2.3.</t>
  </si>
  <si>
    <t>Muud kontrorikulud</t>
  </si>
  <si>
    <t>Ehituse investeeringu algväärtus</t>
  </si>
  <si>
    <t>2.4.</t>
  </si>
  <si>
    <t>Ekspertiisid, konsultatsioonid, mõõtmised jne</t>
  </si>
  <si>
    <t>Üürniku spetsifiline osa investeeringust</t>
  </si>
  <si>
    <t>Aktiivne vakantsus</t>
  </si>
  <si>
    <t>2.5.</t>
  </si>
  <si>
    <t>Ehitusaegne kindlustus</t>
  </si>
  <si>
    <t>Ehituse investeeringu lõppväärtus</t>
  </si>
  <si>
    <t>Üüritav pind kokku</t>
  </si>
  <si>
    <t>2.6.</t>
  </si>
  <si>
    <t>Kulud seoses ehitustööde katkemisega</t>
  </si>
  <si>
    <t>2.7.</t>
  </si>
  <si>
    <t>Juriidiline nõustamine</t>
  </si>
  <si>
    <t>2.8.</t>
  </si>
  <si>
    <t>Muud tellija ehitusaegsed kulud</t>
  </si>
  <si>
    <t>Liitumised</t>
  </si>
  <si>
    <t>3.1.</t>
  </si>
  <si>
    <t>3.2.</t>
  </si>
  <si>
    <t>…</t>
  </si>
  <si>
    <t>Projektijuhtimise otsesed kulud</t>
  </si>
  <si>
    <t>4.1.</t>
  </si>
  <si>
    <t>EHITAMINE</t>
  </si>
  <si>
    <t>Projekteerimine ja uuringud</t>
  </si>
  <si>
    <t>5.1.</t>
  </si>
  <si>
    <t>5.2.</t>
  </si>
  <si>
    <t>Ehituslepingud</t>
  </si>
  <si>
    <t>6.1.</t>
  </si>
  <si>
    <t>6.2.</t>
  </si>
  <si>
    <t>Ettevalmistus- ja lammutustööd</t>
  </si>
  <si>
    <t>6.3.</t>
  </si>
  <si>
    <t>6.4.</t>
  </si>
  <si>
    <t>Aluspõrandate ehitustööd</t>
  </si>
  <si>
    <t>Seinte viimistlustööd</t>
  </si>
  <si>
    <t>6.6.</t>
  </si>
  <si>
    <t>Lagede viimistlustööd</t>
  </si>
  <si>
    <t>6.7.</t>
  </si>
  <si>
    <t>Põrandakattematerjali paigaldustööd</t>
  </si>
  <si>
    <t>6.8.</t>
  </si>
  <si>
    <t>Köögi kohtmööbel</t>
  </si>
  <si>
    <t>6.10.</t>
  </si>
  <si>
    <t>Aknakatted</t>
  </si>
  <si>
    <t>6.11.</t>
  </si>
  <si>
    <t>6.12.</t>
  </si>
  <si>
    <t>6.13.</t>
  </si>
  <si>
    <t>Ventilatsioonisüsteemi ehitustööd</t>
  </si>
  <si>
    <t>6.14.</t>
  </si>
  <si>
    <t>6.15.</t>
  </si>
  <si>
    <t>6.16.</t>
  </si>
  <si>
    <t>6.17.</t>
  </si>
  <si>
    <t>SISUSTAMINE</t>
  </si>
  <si>
    <t>Sisustus ja kunstiteosed</t>
  </si>
  <si>
    <t>7.1.</t>
  </si>
  <si>
    <t>Tavasisustus</t>
  </si>
  <si>
    <t>7.2.</t>
  </si>
  <si>
    <t>Erisisustus</t>
  </si>
  <si>
    <t>7.3.</t>
  </si>
  <si>
    <t>Kunst</t>
  </si>
  <si>
    <t>RESERV</t>
  </si>
  <si>
    <t>Reserv</t>
  </si>
  <si>
    <t>EELDATAV MAKSUMUS KOKKU, KM-TA</t>
  </si>
  <si>
    <t>EHITUSTÖÖDE AEGNE INTRESS</t>
  </si>
  <si>
    <t>Intressikulu</t>
  </si>
  <si>
    <t>PROJEKTIJUHTIMISE KAUDSED KULUD, KM-TA</t>
  </si>
  <si>
    <t>EELDATAV MAKSUMUS KOKKU KOOS KAUDSETE KULUDEGA, KM-TA</t>
  </si>
  <si>
    <t>SISSEVOOL, KM-TA</t>
  </si>
  <si>
    <t>CO2 toetus jmt</t>
  </si>
  <si>
    <t>EELDATAV MAKSUMUS KOOS KAUDSETE KULUDE JA SISSEVOOLUGA, KM-TA</t>
  </si>
  <si>
    <t xml:space="preserve">KÄIBEMAKS </t>
  </si>
  <si>
    <t>EELDATAV MAKSUMUS KOKKU, KM-GA</t>
  </si>
  <si>
    <t>Lisa nr 2</t>
  </si>
  <si>
    <t>Sisustuse jagunemine (ainukasutuses pinnal)</t>
  </si>
  <si>
    <t>Sisustuse jagunemine (ühiskasutuses pinnal)</t>
  </si>
  <si>
    <t>Kokku (ainu- ja ühiskasutuses sisustuse jagunemine)</t>
  </si>
  <si>
    <t>Nimetus</t>
  </si>
  <si>
    <t>Kogus, tk</t>
  </si>
  <si>
    <t>Hind, EUR, km-ta</t>
  </si>
  <si>
    <t>EGT maksumus</t>
  </si>
  <si>
    <t>Ühiskasutus maksumus</t>
  </si>
  <si>
    <t>EGT</t>
  </si>
  <si>
    <t>8h ergonoomiline töötool</t>
  </si>
  <si>
    <t xml:space="preserve">Töölaud A (1400*700) </t>
  </si>
  <si>
    <t>Töölaud B (1600*700)</t>
  </si>
  <si>
    <t>Elektriliselt kõrgusregul. laud A (1400 x 700 mm)</t>
  </si>
  <si>
    <t xml:space="preserve">Elektriliselt kõrgusregul. laud B (1600 x 700 mm) </t>
  </si>
  <si>
    <t>Ratastel sahtliboks</t>
  </si>
  <si>
    <t>Akustiline lauasirm A (1400 x 450 mm)</t>
  </si>
  <si>
    <t>Akustiline lauasirm B (1600 x 450 mm)</t>
  </si>
  <si>
    <t>Metalljalgadel 3 riiulitasapinnaga ustega kapp</t>
  </si>
  <si>
    <t>Põrandanagi</t>
  </si>
  <si>
    <t>Akustiline tugitool</t>
  </si>
  <si>
    <t>Diivan 2-kohaline</t>
  </si>
  <si>
    <t>Diivan 3-kohaline</t>
  </si>
  <si>
    <t>Diivanilaud</t>
  </si>
  <si>
    <t>Koosolekulaud</t>
  </si>
  <si>
    <t>Söögilaud</t>
  </si>
  <si>
    <t>Teeninduslaud PRIA</t>
  </si>
  <si>
    <t>Kliendiarvuti töölaud PRIA</t>
  </si>
  <si>
    <t>Elektriliselt kõrgusregul. laud SUUR 1800mm</t>
  </si>
  <si>
    <t>Akustiline lauasirm C (1800mm lauale)</t>
  </si>
  <si>
    <t>Klienditoolid</t>
  </si>
  <si>
    <t xml:space="preserve">Riidekapp </t>
  </si>
  <si>
    <t>Eeldatav maksumus kokku, km-ta:</t>
  </si>
  <si>
    <t>Sisustuse remonttööd</t>
  </si>
  <si>
    <t>Sisustuse lõppväärtus</t>
  </si>
  <si>
    <t>Käibemaks</t>
  </si>
  <si>
    <t>Eeldatav maksumus kokku, km-ga:</t>
  </si>
  <si>
    <t>Projekteerimistööd</t>
  </si>
  <si>
    <t>Vaheseinte ehitustööd</t>
  </si>
  <si>
    <t>Koristustööd</t>
  </si>
  <si>
    <t>MA osakaal pinnast</t>
  </si>
  <si>
    <t>MA maksumus</t>
  </si>
  <si>
    <t>PMA osakaal pinnast</t>
  </si>
  <si>
    <t>PMA maksumus</t>
  </si>
  <si>
    <t>PRIA osakaal pinnast</t>
  </si>
  <si>
    <t>PRIA maksumus</t>
  </si>
  <si>
    <t>Maa-amet</t>
  </si>
  <si>
    <t>Põllumajandusamet</t>
  </si>
  <si>
    <t>Põllumajanduse Registrite ja Informatsiooni Amet </t>
  </si>
  <si>
    <t xml:space="preserve">6.5. </t>
  </si>
  <si>
    <t>Ruumi 202 ehitustööd</t>
  </si>
  <si>
    <t>Avatäidete vahetus</t>
  </si>
  <si>
    <t>6.9.</t>
  </si>
  <si>
    <t>Veevarustus- ja kanalisatsiooni ehitustööd</t>
  </si>
  <si>
    <t>Jahutussüsteemi ehitustööd</t>
  </si>
  <si>
    <t>Tugevvoolutööd</t>
  </si>
  <si>
    <t>Nõrkvoolutööd</t>
  </si>
  <si>
    <t>MA</t>
  </si>
  <si>
    <t>PMA</t>
  </si>
  <si>
    <t>PRIA</t>
  </si>
  <si>
    <t>Sisustuse algväärtus</t>
  </si>
  <si>
    <t>Töö nimetus</t>
  </si>
  <si>
    <t>Tööde loetelu ja eeldatav maksumus - Kreutzwaldi 5 (Ckorpus)</t>
  </si>
  <si>
    <t>6.18.</t>
  </si>
  <si>
    <t>Viidandus/kujundus/majasildid</t>
  </si>
  <si>
    <t xml:space="preserve">Sisustuse nimekiri ja tegelik maksumus </t>
  </si>
  <si>
    <t>EGT kogus</t>
  </si>
  <si>
    <t>MA kogus</t>
  </si>
  <si>
    <t>PMA kogus</t>
  </si>
  <si>
    <t>PRIA kogus</t>
  </si>
  <si>
    <t>Ühiskasutus kogus</t>
  </si>
  <si>
    <t>Kokku ilma EGTta</t>
  </si>
  <si>
    <t>Töölaud A (1400*700) plaat</t>
  </si>
  <si>
    <t>Osakaal ilma EGTta ja MAta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</si>
</sst>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164" formatCode="0.0%"/>
    <numFmt numFmtId="165" formatCode="#,##0.0"/>
    <numFmt numFmtId="166" formatCode="#,##0&quot; a&quot;"/>
    <numFmt numFmtId="167" formatCode="#,##0.00\ &quot;€&quot;"/>
    <numFmt numFmtId="168" formatCode="0.000000"/>
    <numFmt numFmtId="169" formatCode="#,##0&quot; €&quot;"/>
    <numFmt numFmtId="170" formatCode="#,##0&quot; tk&quot;"/>
    <numFmt numFmtId="171" formatCode="0.0"/>
  </numFmts>
  <fonts count="2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i/>
      <sz val="11"/>
      <color rgb="FFFF0000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i/>
      <sz val="11"/>
      <color rgb="FF000000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11"/>
      <color rgb="FF000000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indexed="81"/>
      <name val="Tahoma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5" fillId="0" borderId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78">
    <xf numFmtId="0" fontId="0" fillId="0" borderId="0" xfId="0"/>
    <xf numFmtId="0" fontId="4" fillId="0" borderId="0" xfId="1" applyFont="1"/>
    <xf numFmtId="0" fontId="1" fillId="0" borderId="0" xfId="1" applyFont="1"/>
    <xf numFmtId="4" fontId="1" fillId="0" borderId="0" xfId="1" applyNumberFormat="1" applyFont="1" applyAlignment="1">
      <alignment horizontal="center"/>
    </xf>
    <xf numFmtId="4" fontId="6" fillId="0" borderId="0" xfId="2" applyNumberFormat="1" applyFont="1" applyAlignment="1">
      <alignment horizontal="right"/>
    </xf>
    <xf numFmtId="0" fontId="1" fillId="2" borderId="0" xfId="1" applyFont="1" applyFill="1"/>
    <xf numFmtId="4" fontId="7" fillId="0" borderId="0" xfId="2" applyNumberFormat="1" applyFont="1" applyAlignment="1">
      <alignment horizontal="right"/>
    </xf>
    <xf numFmtId="0" fontId="6" fillId="0" borderId="0" xfId="1" applyFont="1" applyAlignment="1">
      <alignment vertical="center"/>
    </xf>
    <xf numFmtId="0" fontId="6" fillId="0" borderId="4" xfId="1" applyFont="1" applyBorder="1" applyAlignment="1">
      <alignment vertical="center" wrapText="1"/>
    </xf>
    <xf numFmtId="0" fontId="6" fillId="0" borderId="5" xfId="1" applyFont="1" applyBorder="1" applyAlignment="1">
      <alignment vertical="center" wrapText="1"/>
    </xf>
    <xf numFmtId="4" fontId="6" fillId="0" borderId="6" xfId="1" applyNumberFormat="1" applyFont="1" applyBorder="1" applyAlignment="1">
      <alignment horizontal="center" vertical="center" wrapText="1"/>
    </xf>
    <xf numFmtId="4" fontId="1" fillId="0" borderId="8" xfId="3" applyNumberFormat="1" applyBorder="1"/>
    <xf numFmtId="0" fontId="2" fillId="3" borderId="9" xfId="3" applyFont="1" applyFill="1" applyBorder="1" applyAlignment="1">
      <alignment horizontal="left" wrapText="1"/>
    </xf>
    <xf numFmtId="4" fontId="2" fillId="0" borderId="10" xfId="3" applyNumberFormat="1" applyFont="1" applyBorder="1" applyAlignment="1">
      <alignment horizontal="left" wrapText="1"/>
    </xf>
    <xf numFmtId="3" fontId="6" fillId="4" borderId="13" xfId="1" applyNumberFormat="1" applyFont="1" applyFill="1" applyBorder="1" applyAlignment="1">
      <alignment vertical="center" wrapText="1"/>
    </xf>
    <xf numFmtId="3" fontId="6" fillId="4" borderId="3" xfId="1" applyNumberFormat="1" applyFont="1" applyFill="1" applyBorder="1" applyAlignment="1">
      <alignment vertical="center" wrapText="1"/>
    </xf>
    <xf numFmtId="3" fontId="6" fillId="4" borderId="1" xfId="1" applyNumberFormat="1" applyFont="1" applyFill="1" applyBorder="1" applyAlignment="1">
      <alignment horizontal="right" vertical="center" wrapText="1"/>
    </xf>
    <xf numFmtId="4" fontId="1" fillId="0" borderId="0" xfId="3" applyNumberFormat="1"/>
    <xf numFmtId="164" fontId="1" fillId="2" borderId="2" xfId="4" applyNumberFormat="1" applyFill="1" applyBorder="1" applyAlignment="1">
      <alignment horizontal="center"/>
    </xf>
    <xf numFmtId="4" fontId="2" fillId="0" borderId="15" xfId="3" applyNumberFormat="1" applyFont="1" applyBorder="1"/>
    <xf numFmtId="165" fontId="12" fillId="0" borderId="1" xfId="3" applyNumberFormat="1" applyFont="1" applyBorder="1" applyProtection="1">
      <protection hidden="1"/>
    </xf>
    <xf numFmtId="10" fontId="12" fillId="0" borderId="1" xfId="3" applyNumberFormat="1" applyFont="1" applyBorder="1" applyProtection="1">
      <protection hidden="1"/>
    </xf>
    <xf numFmtId="0" fontId="6" fillId="3" borderId="12" xfId="1" applyFont="1" applyFill="1" applyBorder="1" applyAlignment="1">
      <alignment vertical="center" wrapText="1"/>
    </xf>
    <xf numFmtId="2" fontId="6" fillId="3" borderId="1" xfId="1" applyNumberFormat="1" applyFont="1" applyFill="1" applyBorder="1" applyAlignment="1">
      <alignment vertical="center" wrapText="1"/>
    </xf>
    <xf numFmtId="3" fontId="6" fillId="3" borderId="13" xfId="1" applyNumberFormat="1" applyFont="1" applyFill="1" applyBorder="1" applyAlignment="1">
      <alignment vertical="center" wrapText="1"/>
    </xf>
    <xf numFmtId="3" fontId="6" fillId="3" borderId="3" xfId="1" applyNumberFormat="1" applyFont="1" applyFill="1" applyBorder="1" applyAlignment="1">
      <alignment vertical="center" wrapText="1"/>
    </xf>
    <xf numFmtId="3" fontId="6" fillId="3" borderId="1" xfId="1" applyNumberFormat="1" applyFont="1" applyFill="1" applyBorder="1" applyAlignment="1">
      <alignment horizontal="right" vertical="center" wrapText="1"/>
    </xf>
    <xf numFmtId="0" fontId="13" fillId="0" borderId="18" xfId="3" applyFont="1" applyBorder="1"/>
    <xf numFmtId="4" fontId="13" fillId="0" borderId="19" xfId="3" applyNumberFormat="1" applyFont="1" applyBorder="1"/>
    <xf numFmtId="4" fontId="13" fillId="0" borderId="20" xfId="3" applyNumberFormat="1" applyFont="1" applyBorder="1" applyAlignment="1">
      <alignment horizontal="center"/>
    </xf>
    <xf numFmtId="4" fontId="14" fillId="0" borderId="21" xfId="3" applyNumberFormat="1" applyFont="1" applyBorder="1"/>
    <xf numFmtId="4" fontId="14" fillId="0" borderId="20" xfId="3" applyNumberFormat="1" applyFont="1" applyBorder="1"/>
    <xf numFmtId="0" fontId="7" fillId="0" borderId="12" xfId="1" applyFont="1" applyBorder="1" applyAlignment="1">
      <alignment vertical="center" wrapText="1"/>
    </xf>
    <xf numFmtId="2" fontId="7" fillId="0" borderId="1" xfId="1" applyNumberFormat="1" applyFont="1" applyBorder="1" applyAlignment="1">
      <alignment vertical="center" wrapText="1"/>
    </xf>
    <xf numFmtId="3" fontId="7" fillId="0" borderId="13" xfId="1" applyNumberFormat="1" applyFont="1" applyBorder="1" applyAlignment="1">
      <alignment vertical="center" wrapText="1"/>
    </xf>
    <xf numFmtId="3" fontId="7" fillId="0" borderId="1" xfId="1" applyNumberFormat="1" applyFont="1" applyBorder="1" applyAlignment="1">
      <alignment horizontal="right" vertical="center" wrapText="1"/>
    </xf>
    <xf numFmtId="0" fontId="13" fillId="0" borderId="22" xfId="3" applyFont="1" applyBorder="1"/>
    <xf numFmtId="4" fontId="13" fillId="0" borderId="0" xfId="3" applyNumberFormat="1" applyFont="1"/>
    <xf numFmtId="4" fontId="13" fillId="0" borderId="16" xfId="3" applyNumberFormat="1" applyFont="1" applyBorder="1" applyAlignment="1">
      <alignment horizontal="center"/>
    </xf>
    <xf numFmtId="4" fontId="14" fillId="0" borderId="23" xfId="3" applyNumberFormat="1" applyFont="1" applyBorder="1"/>
    <xf numFmtId="4" fontId="14" fillId="0" borderId="16" xfId="3" applyNumberFormat="1" applyFont="1" applyBorder="1"/>
    <xf numFmtId="4" fontId="14" fillId="0" borderId="0" xfId="3" applyNumberFormat="1" applyFont="1"/>
    <xf numFmtId="0" fontId="13" fillId="0" borderId="14" xfId="3" applyFont="1" applyBorder="1"/>
    <xf numFmtId="4" fontId="13" fillId="0" borderId="24" xfId="3" applyNumberFormat="1" applyFont="1" applyBorder="1"/>
    <xf numFmtId="4" fontId="13" fillId="0" borderId="25" xfId="3" applyNumberFormat="1" applyFont="1" applyBorder="1" applyAlignment="1">
      <alignment horizontal="center"/>
    </xf>
    <xf numFmtId="4" fontId="13" fillId="0" borderId="26" xfId="3" applyNumberFormat="1" applyFont="1" applyBorder="1"/>
    <xf numFmtId="4" fontId="13" fillId="0" borderId="25" xfId="3" applyNumberFormat="1" applyFont="1" applyBorder="1"/>
    <xf numFmtId="166" fontId="7" fillId="0" borderId="1" xfId="1" applyNumberFormat="1" applyFont="1" applyBorder="1" applyAlignment="1">
      <alignment horizontal="right" vertical="center" wrapText="1"/>
    </xf>
    <xf numFmtId="4" fontId="14" fillId="0" borderId="16" xfId="3" applyNumberFormat="1" applyFont="1" applyBorder="1" applyAlignment="1">
      <alignment horizontal="center"/>
    </xf>
    <xf numFmtId="0" fontId="13" fillId="0" borderId="7" xfId="3" applyFont="1" applyBorder="1"/>
    <xf numFmtId="4" fontId="13" fillId="0" borderId="27" xfId="3" applyNumberFormat="1" applyFont="1" applyBorder="1"/>
    <xf numFmtId="4" fontId="13" fillId="0" borderId="8" xfId="3" applyNumberFormat="1" applyFont="1" applyBorder="1" applyAlignment="1">
      <alignment horizontal="center"/>
    </xf>
    <xf numFmtId="4" fontId="13" fillId="0" borderId="8" xfId="3" applyNumberFormat="1" applyFont="1" applyBorder="1"/>
    <xf numFmtId="4" fontId="13" fillId="0" borderId="23" xfId="3" applyNumberFormat="1" applyFont="1" applyBorder="1"/>
    <xf numFmtId="0" fontId="13" fillId="0" borderId="28" xfId="3" applyFont="1" applyBorder="1"/>
    <xf numFmtId="4" fontId="13" fillId="0" borderId="29" xfId="3" applyNumberFormat="1" applyFont="1" applyBorder="1"/>
    <xf numFmtId="4" fontId="14" fillId="0" borderId="30" xfId="3" applyNumberFormat="1" applyFont="1" applyBorder="1"/>
    <xf numFmtId="4" fontId="14" fillId="0" borderId="29" xfId="3" applyNumberFormat="1" applyFont="1" applyBorder="1"/>
    <xf numFmtId="4" fontId="1" fillId="0" borderId="0" xfId="1" applyNumberFormat="1" applyFont="1"/>
    <xf numFmtId="0" fontId="6" fillId="3" borderId="1" xfId="1" applyFont="1" applyFill="1" applyBorder="1" applyAlignment="1">
      <alignment vertical="center" wrapText="1"/>
    </xf>
    <xf numFmtId="16" fontId="7" fillId="0" borderId="12" xfId="1" applyNumberFormat="1" applyFont="1" applyBorder="1" applyAlignment="1">
      <alignment vertical="center" wrapText="1"/>
    </xf>
    <xf numFmtId="0" fontId="6" fillId="0" borderId="32" xfId="1" applyFont="1" applyBorder="1" applyAlignment="1">
      <alignment horizontal="right" vertical="center" wrapText="1"/>
    </xf>
    <xf numFmtId="0" fontId="6" fillId="0" borderId="11" xfId="1" applyFont="1" applyBorder="1" applyAlignment="1">
      <alignment horizontal="left" vertical="center" wrapText="1"/>
    </xf>
    <xf numFmtId="3" fontId="7" fillId="0" borderId="33" xfId="1" applyNumberFormat="1" applyFont="1" applyBorder="1" applyAlignment="1">
      <alignment vertical="center" wrapText="1"/>
    </xf>
    <xf numFmtId="3" fontId="6" fillId="4" borderId="36" xfId="1" applyNumberFormat="1" applyFont="1" applyFill="1" applyBorder="1" applyAlignment="1">
      <alignment vertical="center" wrapText="1"/>
    </xf>
    <xf numFmtId="3" fontId="6" fillId="4" borderId="21" xfId="1" applyNumberFormat="1" applyFont="1" applyFill="1" applyBorder="1" applyAlignment="1">
      <alignment vertical="center" wrapText="1"/>
    </xf>
    <xf numFmtId="3" fontId="6" fillId="4" borderId="11" xfId="1" applyNumberFormat="1" applyFont="1" applyFill="1" applyBorder="1" applyAlignment="1">
      <alignment horizontal="right" vertical="center" wrapText="1"/>
    </xf>
    <xf numFmtId="3" fontId="6" fillId="4" borderId="25" xfId="1" applyNumberFormat="1" applyFont="1" applyFill="1" applyBorder="1" applyAlignment="1">
      <alignment vertical="center" wrapText="1"/>
    </xf>
    <xf numFmtId="0" fontId="7" fillId="0" borderId="20" xfId="1" applyFont="1" applyBorder="1" applyAlignment="1">
      <alignment vertical="center" wrapText="1"/>
    </xf>
    <xf numFmtId="0" fontId="7" fillId="0" borderId="19" xfId="1" applyFont="1" applyBorder="1" applyAlignment="1">
      <alignment vertical="center" wrapText="1"/>
    </xf>
    <xf numFmtId="0" fontId="6" fillId="0" borderId="19" xfId="1" applyFont="1" applyBorder="1" applyAlignment="1">
      <alignment vertical="center" wrapText="1"/>
    </xf>
    <xf numFmtId="0" fontId="1" fillId="0" borderId="0" xfId="1" applyFont="1" applyAlignment="1">
      <alignment horizontal="right"/>
    </xf>
    <xf numFmtId="0" fontId="6" fillId="3" borderId="12" xfId="1" applyFont="1" applyFill="1" applyBorder="1" applyAlignment="1">
      <alignment horizontal="right" vertical="center" wrapText="1"/>
    </xf>
    <xf numFmtId="164" fontId="6" fillId="3" borderId="1" xfId="1" applyNumberFormat="1" applyFont="1" applyFill="1" applyBorder="1" applyAlignment="1">
      <alignment horizontal="left" vertical="center" wrapText="1"/>
    </xf>
    <xf numFmtId="3" fontId="6" fillId="3" borderId="2" xfId="1" applyNumberFormat="1" applyFont="1" applyFill="1" applyBorder="1" applyAlignment="1">
      <alignment vertical="center" wrapText="1"/>
    </xf>
    <xf numFmtId="0" fontId="6" fillId="0" borderId="16" xfId="1" applyFont="1" applyBorder="1" applyAlignment="1">
      <alignment horizontal="right" vertical="center" wrapText="1"/>
    </xf>
    <xf numFmtId="164" fontId="6" fillId="0" borderId="0" xfId="1" applyNumberFormat="1" applyFont="1" applyAlignment="1">
      <alignment horizontal="left" vertical="center" wrapText="1"/>
    </xf>
    <xf numFmtId="3" fontId="6" fillId="4" borderId="2" xfId="1" applyNumberFormat="1" applyFont="1" applyFill="1" applyBorder="1" applyAlignment="1">
      <alignment vertical="center" wrapText="1"/>
    </xf>
    <xf numFmtId="0" fontId="6" fillId="0" borderId="16" xfId="1" applyFont="1" applyBorder="1" applyAlignment="1">
      <alignment vertical="center" wrapText="1"/>
    </xf>
    <xf numFmtId="0" fontId="6" fillId="0" borderId="0" xfId="1" applyFont="1" applyAlignment="1">
      <alignment vertical="center" wrapText="1"/>
    </xf>
    <xf numFmtId="0" fontId="6" fillId="3" borderId="32" xfId="1" applyFont="1" applyFill="1" applyBorder="1" applyAlignment="1">
      <alignment horizontal="right" vertical="center" wrapText="1"/>
    </xf>
    <xf numFmtId="164" fontId="6" fillId="3" borderId="11" xfId="1" applyNumberFormat="1" applyFont="1" applyFill="1" applyBorder="1" applyAlignment="1">
      <alignment horizontal="left" vertical="center" wrapText="1"/>
    </xf>
    <xf numFmtId="3" fontId="6" fillId="3" borderId="20" xfId="1" applyNumberFormat="1" applyFont="1" applyFill="1" applyBorder="1" applyAlignment="1">
      <alignment vertical="center" wrapText="1"/>
    </xf>
    <xf numFmtId="3" fontId="6" fillId="4" borderId="39" xfId="1" applyNumberFormat="1" applyFont="1" applyFill="1" applyBorder="1" applyAlignment="1">
      <alignment vertical="center" wrapText="1"/>
    </xf>
    <xf numFmtId="10" fontId="7" fillId="0" borderId="11" xfId="1" applyNumberFormat="1" applyFont="1" applyBorder="1" applyAlignment="1">
      <alignment horizontal="left" vertical="center" wrapText="1"/>
    </xf>
    <xf numFmtId="3" fontId="6" fillId="0" borderId="20" xfId="1" applyNumberFormat="1" applyFont="1" applyBorder="1" applyAlignment="1">
      <alignment vertical="center" wrapText="1"/>
    </xf>
    <xf numFmtId="10" fontId="6" fillId="0" borderId="0" xfId="1" applyNumberFormat="1" applyFont="1" applyAlignment="1">
      <alignment horizontal="left" vertical="center" wrapText="1"/>
    </xf>
    <xf numFmtId="9" fontId="6" fillId="3" borderId="1" xfId="1" applyNumberFormat="1" applyFont="1" applyFill="1" applyBorder="1" applyAlignment="1">
      <alignment horizontal="left" vertical="center" wrapText="1"/>
    </xf>
    <xf numFmtId="9" fontId="6" fillId="0" borderId="0" xfId="1" applyNumberFormat="1" applyFont="1" applyAlignment="1">
      <alignment horizontal="left" vertical="center" wrapText="1"/>
    </xf>
    <xf numFmtId="3" fontId="6" fillId="4" borderId="42" xfId="1" applyNumberFormat="1" applyFont="1" applyFill="1" applyBorder="1" applyAlignment="1">
      <alignment vertical="center" wrapText="1"/>
    </xf>
    <xf numFmtId="0" fontId="7" fillId="0" borderId="0" xfId="1" applyFont="1" applyAlignment="1">
      <alignment vertical="center" wrapText="1"/>
    </xf>
    <xf numFmtId="4" fontId="6" fillId="0" borderId="0" xfId="1" applyNumberFormat="1" applyFont="1" applyAlignment="1">
      <alignment vertical="center" wrapText="1"/>
    </xf>
    <xf numFmtId="0" fontId="10" fillId="0" borderId="0" xfId="1" applyFont="1"/>
    <xf numFmtId="4" fontId="10" fillId="0" borderId="0" xfId="1" applyNumberFormat="1" applyFont="1" applyAlignment="1">
      <alignment horizontal="right"/>
    </xf>
    <xf numFmtId="0" fontId="1" fillId="0" borderId="0" xfId="1" applyFont="1" applyFill="1"/>
    <xf numFmtId="3" fontId="1" fillId="0" borderId="0" xfId="1" applyNumberFormat="1" applyFont="1" applyFill="1"/>
    <xf numFmtId="0" fontId="12" fillId="0" borderId="0" xfId="3" applyFont="1"/>
    <xf numFmtId="0" fontId="16" fillId="0" borderId="0" xfId="2" applyFont="1" applyAlignment="1">
      <alignment horizontal="right"/>
    </xf>
    <xf numFmtId="0" fontId="12" fillId="2" borderId="0" xfId="3" applyFont="1" applyFill="1"/>
    <xf numFmtId="0" fontId="12" fillId="0" borderId="0" xfId="3" applyFont="1" applyAlignment="1">
      <alignment horizontal="left"/>
    </xf>
    <xf numFmtId="4" fontId="5" fillId="0" borderId="0" xfId="2" applyNumberFormat="1" applyAlignment="1">
      <alignment horizontal="right"/>
    </xf>
    <xf numFmtId="0" fontId="5" fillId="0" borderId="0" xfId="2" applyAlignment="1">
      <alignment horizontal="right"/>
    </xf>
    <xf numFmtId="0" fontId="2" fillId="0" borderId="34" xfId="3" applyFont="1" applyBorder="1" applyAlignment="1">
      <alignment horizontal="left"/>
    </xf>
    <xf numFmtId="0" fontId="18" fillId="0" borderId="35" xfId="3" applyFont="1" applyBorder="1" applyAlignment="1">
      <alignment horizontal="center"/>
    </xf>
    <xf numFmtId="0" fontId="18" fillId="0" borderId="35" xfId="3" applyFont="1" applyBorder="1" applyAlignment="1">
      <alignment horizontal="center" wrapText="1"/>
    </xf>
    <xf numFmtId="0" fontId="18" fillId="0" borderId="36" xfId="3" applyFont="1" applyBorder="1" applyAlignment="1">
      <alignment horizontal="center" wrapText="1"/>
    </xf>
    <xf numFmtId="0" fontId="2" fillId="0" borderId="34" xfId="3" applyFont="1" applyBorder="1" applyAlignment="1">
      <alignment horizontal="center"/>
    </xf>
    <xf numFmtId="0" fontId="2" fillId="0" borderId="36" xfId="3" applyFont="1" applyBorder="1" applyAlignment="1">
      <alignment horizontal="center"/>
    </xf>
    <xf numFmtId="0" fontId="2" fillId="0" borderId="0" xfId="3" applyFont="1" applyAlignment="1">
      <alignment horizontal="center"/>
    </xf>
    <xf numFmtId="0" fontId="2" fillId="3" borderId="34" xfId="3" applyFont="1" applyFill="1" applyBorder="1" applyAlignment="1">
      <alignment horizontal="center" wrapText="1"/>
    </xf>
    <xf numFmtId="4" fontId="2" fillId="0" borderId="35" xfId="3" applyNumberFormat="1" applyFont="1" applyBorder="1" applyAlignment="1">
      <alignment horizontal="center" wrapText="1"/>
    </xf>
    <xf numFmtId="0" fontId="2" fillId="3" borderId="35" xfId="3" applyFont="1" applyFill="1" applyBorder="1" applyAlignment="1" applyProtection="1">
      <alignment horizontal="center"/>
      <protection hidden="1"/>
    </xf>
    <xf numFmtId="0" fontId="2" fillId="3" borderId="35" xfId="3" applyFont="1" applyFill="1" applyBorder="1" applyAlignment="1">
      <alignment horizontal="center" wrapText="1"/>
    </xf>
    <xf numFmtId="4" fontId="2" fillId="0" borderId="36" xfId="3" applyNumberFormat="1" applyFont="1" applyBorder="1" applyAlignment="1">
      <alignment horizontal="center" wrapText="1"/>
    </xf>
    <xf numFmtId="0" fontId="2" fillId="3" borderId="43" xfId="3" applyFont="1" applyFill="1" applyBorder="1" applyAlignment="1" applyProtection="1">
      <alignment horizontal="center"/>
      <protection hidden="1"/>
    </xf>
    <xf numFmtId="0" fontId="2" fillId="3" borderId="36" xfId="3" applyFont="1" applyFill="1" applyBorder="1" applyAlignment="1" applyProtection="1">
      <alignment horizontal="center"/>
      <protection hidden="1"/>
    </xf>
    <xf numFmtId="0" fontId="19" fillId="0" borderId="37" xfId="3" applyFont="1" applyBorder="1" applyAlignment="1">
      <alignment horizontal="left" vertical="center"/>
    </xf>
    <xf numFmtId="0" fontId="1" fillId="0" borderId="38" xfId="3" applyBorder="1"/>
    <xf numFmtId="0" fontId="12" fillId="0" borderId="37" xfId="3" applyFont="1" applyBorder="1" applyAlignment="1">
      <alignment horizontal="center"/>
    </xf>
    <xf numFmtId="0" fontId="12" fillId="0" borderId="44" xfId="3" applyFont="1" applyBorder="1"/>
    <xf numFmtId="167" fontId="7" fillId="0" borderId="38" xfId="5" applyNumberFormat="1" applyFont="1" applyBorder="1" applyAlignment="1">
      <alignment horizontal="right" vertical="top" wrapText="1"/>
    </xf>
    <xf numFmtId="167" fontId="7" fillId="0" borderId="44" xfId="5" applyNumberFormat="1" applyFont="1" applyBorder="1" applyAlignment="1">
      <alignment horizontal="right" vertical="top" wrapText="1"/>
    </xf>
    <xf numFmtId="4" fontId="12" fillId="0" borderId="0" xfId="3" applyNumberFormat="1" applyFont="1"/>
    <xf numFmtId="0" fontId="19" fillId="0" borderId="12" xfId="3" applyFont="1" applyBorder="1" applyAlignment="1">
      <alignment horizontal="left" vertical="center"/>
    </xf>
    <xf numFmtId="0" fontId="12" fillId="0" borderId="13" xfId="3" applyFont="1" applyBorder="1"/>
    <xf numFmtId="0" fontId="1" fillId="3" borderId="1" xfId="3" applyFill="1" applyBorder="1" applyAlignment="1">
      <alignment horizontal="center"/>
    </xf>
    <xf numFmtId="0" fontId="0" fillId="3" borderId="1" xfId="5" applyNumberFormat="1" applyFont="1" applyFill="1" applyBorder="1" applyAlignment="1">
      <alignment horizontal="center"/>
    </xf>
    <xf numFmtId="167" fontId="7" fillId="0" borderId="12" xfId="5" applyNumberFormat="1" applyFont="1" applyBorder="1" applyAlignment="1">
      <alignment horizontal="right" vertical="top" wrapText="1"/>
    </xf>
    <xf numFmtId="167" fontId="7" fillId="0" borderId="1" xfId="5" applyNumberFormat="1" applyFont="1" applyBorder="1" applyAlignment="1">
      <alignment horizontal="right" vertical="top" wrapText="1"/>
    </xf>
    <xf numFmtId="167" fontId="7" fillId="0" borderId="13" xfId="5" applyNumberFormat="1" applyFont="1" applyBorder="1" applyAlignment="1">
      <alignment horizontal="right" vertical="top" wrapText="1"/>
    </xf>
    <xf numFmtId="0" fontId="19" fillId="0" borderId="32" xfId="3" applyFont="1" applyBorder="1" applyAlignment="1">
      <alignment horizontal="left" vertical="center"/>
    </xf>
    <xf numFmtId="0" fontId="12" fillId="0" borderId="12" xfId="3" applyFont="1" applyBorder="1" applyAlignment="1">
      <alignment horizontal="left" vertical="center"/>
    </xf>
    <xf numFmtId="165" fontId="12" fillId="0" borderId="0" xfId="3" applyNumberFormat="1" applyFont="1" applyProtection="1">
      <protection hidden="1"/>
    </xf>
    <xf numFmtId="10" fontId="12" fillId="0" borderId="0" xfId="3" applyNumberFormat="1" applyFont="1" applyProtection="1">
      <protection hidden="1"/>
    </xf>
    <xf numFmtId="0" fontId="12" fillId="0" borderId="12" xfId="3" applyFont="1" applyBorder="1" applyAlignment="1">
      <alignment horizontal="left"/>
    </xf>
    <xf numFmtId="0" fontId="12" fillId="0" borderId="37" xfId="3" applyFont="1" applyBorder="1" applyAlignment="1">
      <alignment horizontal="left"/>
    </xf>
    <xf numFmtId="0" fontId="12" fillId="0" borderId="45" xfId="3" applyFont="1" applyBorder="1" applyAlignment="1">
      <alignment horizontal="left"/>
    </xf>
    <xf numFmtId="0" fontId="12" fillId="0" borderId="45" xfId="3" applyFont="1" applyBorder="1" applyAlignment="1">
      <alignment horizontal="center"/>
    </xf>
    <xf numFmtId="0" fontId="12" fillId="0" borderId="33" xfId="3" applyFont="1" applyBorder="1"/>
    <xf numFmtId="167" fontId="7" fillId="0" borderId="15" xfId="5" applyNumberFormat="1" applyFont="1" applyBorder="1" applyAlignment="1">
      <alignment horizontal="right" vertical="top" wrapText="1"/>
    </xf>
    <xf numFmtId="0" fontId="1" fillId="3" borderId="11" xfId="3" applyFill="1" applyBorder="1" applyAlignment="1">
      <alignment horizontal="center"/>
    </xf>
    <xf numFmtId="0" fontId="0" fillId="3" borderId="11" xfId="5" applyNumberFormat="1" applyFont="1" applyFill="1" applyBorder="1" applyAlignment="1">
      <alignment horizontal="center"/>
    </xf>
    <xf numFmtId="167" fontId="7" fillId="0" borderId="32" xfId="5" applyNumberFormat="1" applyFont="1" applyBorder="1" applyAlignment="1">
      <alignment horizontal="right" vertical="top" wrapText="1"/>
    </xf>
    <xf numFmtId="167" fontId="7" fillId="0" borderId="11" xfId="5" applyNumberFormat="1" applyFont="1" applyBorder="1" applyAlignment="1">
      <alignment horizontal="right" vertical="top" wrapText="1"/>
    </xf>
    <xf numFmtId="167" fontId="7" fillId="0" borderId="33" xfId="5" applyNumberFormat="1" applyFont="1" applyBorder="1" applyAlignment="1">
      <alignment horizontal="right" vertical="top" wrapText="1"/>
    </xf>
    <xf numFmtId="0" fontId="18" fillId="4" borderId="34" xfId="3" applyFont="1" applyFill="1" applyBorder="1" applyAlignment="1">
      <alignment horizontal="right"/>
    </xf>
    <xf numFmtId="0" fontId="18" fillId="4" borderId="47" xfId="3" applyFont="1" applyFill="1" applyBorder="1" applyAlignment="1">
      <alignment horizontal="right"/>
    </xf>
    <xf numFmtId="0" fontId="12" fillId="4" borderId="47" xfId="3" applyFont="1" applyFill="1" applyBorder="1"/>
    <xf numFmtId="4" fontId="2" fillId="4" borderId="47" xfId="3" applyNumberFormat="1" applyFont="1" applyFill="1" applyBorder="1"/>
    <xf numFmtId="4" fontId="2" fillId="4" borderId="48" xfId="3" applyNumberFormat="1" applyFont="1" applyFill="1" applyBorder="1"/>
    <xf numFmtId="0" fontId="12" fillId="3" borderId="34" xfId="3" applyFont="1" applyFill="1" applyBorder="1" applyAlignment="1">
      <alignment horizontal="right"/>
    </xf>
    <xf numFmtId="0" fontId="12" fillId="3" borderId="47" xfId="3" applyFont="1" applyFill="1" applyBorder="1" applyAlignment="1">
      <alignment horizontal="center"/>
    </xf>
    <xf numFmtId="0" fontId="18" fillId="3" borderId="47" xfId="3" applyFont="1" applyFill="1" applyBorder="1" applyAlignment="1">
      <alignment horizontal="right"/>
    </xf>
    <xf numFmtId="0" fontId="2" fillId="3" borderId="47" xfId="3" applyFont="1" applyFill="1" applyBorder="1"/>
    <xf numFmtId="0" fontId="18" fillId="3" borderId="47" xfId="3" applyFont="1" applyFill="1" applyBorder="1" applyAlignment="1">
      <alignment horizontal="center"/>
    </xf>
    <xf numFmtId="0" fontId="12" fillId="3" borderId="37" xfId="3" applyFont="1" applyFill="1" applyBorder="1" applyAlignment="1">
      <alignment horizontal="right"/>
    </xf>
    <xf numFmtId="0" fontId="12" fillId="3" borderId="24" xfId="3" applyFont="1" applyFill="1" applyBorder="1"/>
    <xf numFmtId="1" fontId="12" fillId="0" borderId="0" xfId="3" applyNumberFormat="1" applyFont="1"/>
    <xf numFmtId="0" fontId="18" fillId="4" borderId="49" xfId="3" applyFont="1" applyFill="1" applyBorder="1" applyAlignment="1">
      <alignment horizontal="right"/>
    </xf>
    <xf numFmtId="0" fontId="18" fillId="4" borderId="30" xfId="3" applyFont="1" applyFill="1" applyBorder="1" applyAlignment="1">
      <alignment horizontal="right"/>
    </xf>
    <xf numFmtId="0" fontId="12" fillId="4" borderId="30" xfId="3" applyFont="1" applyFill="1" applyBorder="1"/>
    <xf numFmtId="0" fontId="2" fillId="0" borderId="0" xfId="1" applyFont="1"/>
    <xf numFmtId="3" fontId="1" fillId="0" borderId="50" xfId="3" applyNumberFormat="1" applyBorder="1"/>
    <xf numFmtId="0" fontId="2" fillId="3" borderId="4" xfId="3" applyFont="1" applyFill="1" applyBorder="1" applyAlignment="1" applyProtection="1">
      <alignment horizontal="left"/>
      <protection hidden="1"/>
    </xf>
    <xf numFmtId="0" fontId="2" fillId="3" borderId="5" xfId="3" applyFont="1" applyFill="1" applyBorder="1" applyAlignment="1" applyProtection="1">
      <alignment horizontal="left"/>
      <protection hidden="1"/>
    </xf>
    <xf numFmtId="0" fontId="2" fillId="3" borderId="6" xfId="3" applyFont="1" applyFill="1" applyBorder="1" applyAlignment="1" applyProtection="1">
      <alignment horizontal="left"/>
      <protection hidden="1"/>
    </xf>
    <xf numFmtId="0" fontId="6" fillId="4" borderId="3" xfId="1" applyFont="1" applyFill="1" applyBorder="1" applyAlignment="1">
      <alignment horizontal="center" vertical="center" wrapText="1"/>
    </xf>
    <xf numFmtId="1" fontId="6" fillId="4" borderId="1" xfId="1" applyNumberFormat="1" applyFont="1" applyFill="1" applyBorder="1" applyAlignment="1">
      <alignment horizontal="right" vertical="center" wrapText="1"/>
    </xf>
    <xf numFmtId="3" fontId="1" fillId="0" borderId="51" xfId="3" applyNumberFormat="1" applyBorder="1"/>
    <xf numFmtId="0" fontId="12" fillId="0" borderId="12" xfId="3" applyFont="1" applyBorder="1" applyProtection="1">
      <protection hidden="1"/>
    </xf>
    <xf numFmtId="10" fontId="12" fillId="0" borderId="13" xfId="3" applyNumberFormat="1" applyFont="1" applyBorder="1" applyProtection="1">
      <protection hidden="1"/>
    </xf>
    <xf numFmtId="0" fontId="6" fillId="3" borderId="3" xfId="1" applyFont="1" applyFill="1" applyBorder="1" applyAlignment="1">
      <alignment horizontal="center" vertical="center" wrapText="1"/>
    </xf>
    <xf numFmtId="1" fontId="6" fillId="3" borderId="1" xfId="1" applyNumberFormat="1" applyFont="1" applyFill="1" applyBorder="1" applyAlignment="1">
      <alignment horizontal="right" vertical="center" wrapText="1"/>
    </xf>
    <xf numFmtId="3" fontId="13" fillId="3" borderId="52" xfId="3" applyNumberFormat="1" applyFont="1" applyFill="1" applyBorder="1"/>
    <xf numFmtId="0" fontId="7" fillId="0" borderId="3" xfId="1" applyFont="1" applyBorder="1" applyAlignment="1">
      <alignment horizontal="center" vertical="center" wrapText="1"/>
    </xf>
    <xf numFmtId="2" fontId="7" fillId="0" borderId="1" xfId="1" applyNumberFormat="1" applyFont="1" applyBorder="1" applyAlignment="1">
      <alignment horizontal="center" vertical="center" wrapText="1"/>
    </xf>
    <xf numFmtId="1" fontId="7" fillId="0" borderId="1" xfId="1" applyNumberFormat="1" applyFont="1" applyBorder="1" applyAlignment="1">
      <alignment horizontal="right" vertical="center" wrapText="1"/>
    </xf>
    <xf numFmtId="3" fontId="14" fillId="3" borderId="52" xfId="3" applyNumberFormat="1" applyFont="1" applyFill="1" applyBorder="1"/>
    <xf numFmtId="3" fontId="13" fillId="3" borderId="51" xfId="3" applyNumberFormat="1" applyFont="1" applyFill="1" applyBorder="1"/>
    <xf numFmtId="0" fontId="2" fillId="0" borderId="40" xfId="3" applyFont="1" applyBorder="1" applyProtection="1">
      <protection hidden="1"/>
    </xf>
    <xf numFmtId="165" fontId="2" fillId="0" borderId="41" xfId="3" applyNumberFormat="1" applyFont="1" applyBorder="1" applyProtection="1">
      <protection hidden="1"/>
    </xf>
    <xf numFmtId="10" fontId="2" fillId="0" borderId="53" xfId="3" applyNumberFormat="1" applyFont="1" applyBorder="1" applyProtection="1">
      <protection hidden="1"/>
    </xf>
    <xf numFmtId="0" fontId="12" fillId="0" borderId="0" xfId="3" applyFont="1" applyProtection="1">
      <protection hidden="1"/>
    </xf>
    <xf numFmtId="3" fontId="13" fillId="3" borderId="50" xfId="3" applyNumberFormat="1" applyFont="1" applyFill="1" applyBorder="1"/>
    <xf numFmtId="3" fontId="13" fillId="3" borderId="54" xfId="3" applyNumberFormat="1" applyFont="1" applyFill="1" applyBorder="1"/>
    <xf numFmtId="0" fontId="2" fillId="0" borderId="0" xfId="3" applyFont="1" applyProtection="1">
      <protection hidden="1"/>
    </xf>
    <xf numFmtId="165" fontId="2" fillId="0" borderId="0" xfId="3" applyNumberFormat="1" applyFont="1" applyProtection="1">
      <protection hidden="1"/>
    </xf>
    <xf numFmtId="9" fontId="2" fillId="0" borderId="0" xfId="4" applyFont="1" applyBorder="1" applyProtection="1">
      <protection hidden="1"/>
    </xf>
    <xf numFmtId="16" fontId="7" fillId="0" borderId="3" xfId="1" applyNumberFormat="1" applyFont="1" applyBorder="1" applyAlignment="1">
      <alignment horizontal="center" vertical="center" wrapText="1"/>
    </xf>
    <xf numFmtId="2" fontId="7" fillId="0" borderId="1" xfId="1" applyNumberFormat="1" applyFont="1" applyBorder="1" applyAlignment="1">
      <alignment horizontal="right" vertical="center" wrapText="1"/>
    </xf>
    <xf numFmtId="2" fontId="6" fillId="3" borderId="1" xfId="1" applyNumberFormat="1" applyFont="1" applyFill="1" applyBorder="1" applyAlignment="1">
      <alignment horizontal="right" vertical="center" wrapText="1"/>
    </xf>
    <xf numFmtId="0" fontId="6" fillId="3" borderId="1" xfId="1" applyFont="1" applyFill="1" applyBorder="1" applyAlignment="1">
      <alignment horizontal="right" vertical="center" wrapText="1"/>
    </xf>
    <xf numFmtId="0" fontId="6" fillId="4" borderId="1" xfId="1" applyFont="1" applyFill="1" applyBorder="1" applyAlignment="1">
      <alignment horizontal="right" vertical="center" wrapText="1"/>
    </xf>
    <xf numFmtId="3" fontId="1" fillId="0" borderId="0" xfId="1" applyNumberFormat="1" applyFont="1"/>
    <xf numFmtId="0" fontId="6" fillId="4" borderId="3" xfId="1" applyFont="1" applyFill="1" applyBorder="1" applyAlignment="1">
      <alignment vertical="center" wrapText="1"/>
    </xf>
    <xf numFmtId="0" fontId="6" fillId="3" borderId="3" xfId="1" applyFont="1" applyFill="1" applyBorder="1" applyAlignment="1">
      <alignment vertical="center" wrapText="1"/>
    </xf>
    <xf numFmtId="0" fontId="7" fillId="0" borderId="3" xfId="1" applyFont="1" applyBorder="1" applyAlignment="1">
      <alignment vertical="center" wrapText="1"/>
    </xf>
    <xf numFmtId="0" fontId="6" fillId="0" borderId="3" xfId="1" applyFont="1" applyBorder="1" applyAlignment="1">
      <alignment horizontal="right" vertical="center" wrapText="1"/>
    </xf>
    <xf numFmtId="0" fontId="6" fillId="0" borderId="1" xfId="1" applyFont="1" applyBorder="1" applyAlignment="1">
      <alignment horizontal="right" vertical="center" wrapText="1"/>
    </xf>
    <xf numFmtId="0" fontId="6" fillId="0" borderId="0" xfId="1" applyFont="1" applyAlignment="1">
      <alignment horizontal="right" vertical="center" wrapText="1"/>
    </xf>
    <xf numFmtId="0" fontId="17" fillId="0" borderId="0" xfId="3" applyFont="1"/>
    <xf numFmtId="0" fontId="2" fillId="0" borderId="35" xfId="3" applyFont="1" applyBorder="1" applyAlignment="1">
      <alignment horizontal="center" wrapText="1"/>
    </xf>
    <xf numFmtId="167" fontId="12" fillId="3" borderId="44" xfId="3" applyNumberFormat="1" applyFont="1" applyFill="1" applyBorder="1"/>
    <xf numFmtId="0" fontId="12" fillId="3" borderId="37" xfId="3" applyFont="1" applyFill="1" applyBorder="1"/>
    <xf numFmtId="0" fontId="1" fillId="3" borderId="38" xfId="3" applyFill="1" applyBorder="1" applyAlignment="1">
      <alignment horizontal="center"/>
    </xf>
    <xf numFmtId="0" fontId="0" fillId="3" borderId="38" xfId="5" applyNumberFormat="1" applyFont="1" applyFill="1" applyBorder="1" applyAlignment="1">
      <alignment horizontal="center"/>
    </xf>
    <xf numFmtId="167" fontId="7" fillId="0" borderId="14" xfId="5" applyNumberFormat="1" applyFont="1" applyBorder="1" applyAlignment="1">
      <alignment horizontal="right" vertical="top" wrapText="1"/>
    </xf>
    <xf numFmtId="167" fontId="7" fillId="0" borderId="17" xfId="5" applyNumberFormat="1" applyFont="1" applyBorder="1" applyAlignment="1">
      <alignment horizontal="right" vertical="top" wrapText="1"/>
    </xf>
    <xf numFmtId="10" fontId="12" fillId="0" borderId="13" xfId="4" applyNumberFormat="1" applyFont="1" applyBorder="1"/>
    <xf numFmtId="0" fontId="12" fillId="3" borderId="12" xfId="3" applyFont="1" applyFill="1" applyBorder="1"/>
    <xf numFmtId="9" fontId="2" fillId="0" borderId="41" xfId="3" applyNumberFormat="1" applyFont="1" applyBorder="1" applyProtection="1">
      <protection hidden="1"/>
    </xf>
    <xf numFmtId="9" fontId="2" fillId="0" borderId="53" xfId="3" applyNumberFormat="1" applyFont="1" applyBorder="1" applyProtection="1">
      <protection hidden="1"/>
    </xf>
    <xf numFmtId="168" fontId="12" fillId="0" borderId="0" xfId="3" applyNumberFormat="1" applyFont="1"/>
    <xf numFmtId="167" fontId="12" fillId="3" borderId="46" xfId="3" applyNumberFormat="1" applyFont="1" applyFill="1" applyBorder="1"/>
    <xf numFmtId="0" fontId="12" fillId="3" borderId="32" xfId="3" applyFont="1" applyFill="1" applyBorder="1"/>
    <xf numFmtId="169" fontId="2" fillId="4" borderId="47" xfId="3" applyNumberFormat="1" applyFont="1" applyFill="1" applyBorder="1"/>
    <xf numFmtId="0" fontId="18" fillId="4" borderId="47" xfId="3" applyFont="1" applyFill="1" applyBorder="1"/>
    <xf numFmtId="170" fontId="12" fillId="4" borderId="47" xfId="3" applyNumberFormat="1" applyFont="1" applyFill="1" applyBorder="1" applyAlignment="1">
      <alignment horizontal="center"/>
    </xf>
    <xf numFmtId="167" fontId="2" fillId="4" borderId="47" xfId="3" applyNumberFormat="1" applyFont="1" applyFill="1" applyBorder="1"/>
    <xf numFmtId="0" fontId="12" fillId="4" borderId="34" xfId="3" applyFont="1" applyFill="1" applyBorder="1" applyAlignment="1">
      <alignment horizontal="right"/>
    </xf>
    <xf numFmtId="9" fontId="12" fillId="3" borderId="38" xfId="3" applyNumberFormat="1" applyFont="1" applyFill="1" applyBorder="1"/>
    <xf numFmtId="4" fontId="2" fillId="4" borderId="31" xfId="3" applyNumberFormat="1" applyFont="1" applyFill="1" applyBorder="1"/>
    <xf numFmtId="0" fontId="2" fillId="0" borderId="0" xfId="3" applyFont="1" applyAlignment="1">
      <alignment horizontal="left" wrapText="1"/>
    </xf>
    <xf numFmtId="4" fontId="2" fillId="0" borderId="0" xfId="3" applyNumberFormat="1" applyFont="1" applyAlignment="1">
      <alignment horizontal="left" wrapText="1"/>
    </xf>
    <xf numFmtId="10" fontId="2" fillId="0" borderId="0" xfId="3" applyNumberFormat="1" applyFont="1" applyProtection="1">
      <protection hidden="1"/>
    </xf>
    <xf numFmtId="165" fontId="1" fillId="0" borderId="0" xfId="1" applyNumberFormat="1" applyFont="1"/>
    <xf numFmtId="3" fontId="7" fillId="0" borderId="0" xfId="1" applyNumberFormat="1" applyFont="1" applyAlignment="1">
      <alignment vertical="center" wrapText="1"/>
    </xf>
    <xf numFmtId="0" fontId="2" fillId="0" borderId="0" xfId="3" applyFont="1" applyAlignment="1">
      <alignment horizontal="center" wrapText="1"/>
    </xf>
    <xf numFmtId="0" fontId="2" fillId="3" borderId="7" xfId="3" applyFont="1" applyFill="1" applyBorder="1" applyAlignment="1" applyProtection="1">
      <alignment horizontal="center"/>
      <protection hidden="1"/>
    </xf>
    <xf numFmtId="0" fontId="2" fillId="3" borderId="10" xfId="3" applyFont="1" applyFill="1" applyBorder="1" applyAlignment="1" applyProtection="1">
      <alignment horizontal="center"/>
      <protection hidden="1"/>
    </xf>
    <xf numFmtId="0" fontId="2" fillId="3" borderId="55" xfId="3" applyFont="1" applyFill="1" applyBorder="1" applyAlignment="1" applyProtection="1">
      <alignment horizontal="center"/>
      <protection hidden="1"/>
    </xf>
    <xf numFmtId="0" fontId="2" fillId="3" borderId="56" xfId="3" applyFont="1" applyFill="1" applyBorder="1" applyAlignment="1" applyProtection="1">
      <alignment horizontal="left" wrapText="1"/>
      <protection hidden="1"/>
    </xf>
    <xf numFmtId="167" fontId="7" fillId="0" borderId="57" xfId="5" applyNumberFormat="1" applyFont="1" applyBorder="1" applyAlignment="1">
      <alignment horizontal="right" vertical="top" wrapText="1"/>
    </xf>
    <xf numFmtId="167" fontId="7" fillId="0" borderId="5" xfId="5" applyNumberFormat="1" applyFont="1" applyBorder="1" applyAlignment="1">
      <alignment horizontal="right" vertical="top" wrapText="1"/>
    </xf>
    <xf numFmtId="167" fontId="7" fillId="0" borderId="6" xfId="5" applyNumberFormat="1" applyFont="1" applyBorder="1" applyAlignment="1">
      <alignment horizontal="right" vertical="top" wrapText="1"/>
    </xf>
    <xf numFmtId="167" fontId="7" fillId="0" borderId="28" xfId="5" applyNumberFormat="1" applyFont="1" applyBorder="1" applyAlignment="1">
      <alignment horizontal="right" vertical="top" wrapText="1"/>
    </xf>
    <xf numFmtId="167" fontId="7" fillId="0" borderId="41" xfId="5" applyNumberFormat="1" applyFont="1" applyBorder="1" applyAlignment="1">
      <alignment horizontal="right" vertical="top" wrapText="1"/>
    </xf>
    <xf numFmtId="167" fontId="7" fillId="0" borderId="58" xfId="5" applyNumberFormat="1" applyFont="1" applyBorder="1" applyAlignment="1">
      <alignment horizontal="right" vertical="top" wrapText="1"/>
    </xf>
    <xf numFmtId="167" fontId="7" fillId="0" borderId="59" xfId="5" applyNumberFormat="1" applyFont="1" applyBorder="1" applyAlignment="1">
      <alignment horizontal="right" vertical="top" wrapText="1"/>
    </xf>
    <xf numFmtId="169" fontId="12" fillId="0" borderId="0" xfId="3" applyNumberFormat="1" applyFont="1"/>
    <xf numFmtId="0" fontId="1" fillId="0" borderId="0" xfId="1" applyFont="1" applyFill="1" applyAlignment="1">
      <alignment horizontal="right"/>
    </xf>
    <xf numFmtId="3" fontId="2" fillId="0" borderId="0" xfId="1" applyNumberFormat="1" applyFont="1" applyFill="1"/>
    <xf numFmtId="0" fontId="1" fillId="0" borderId="0" xfId="1" applyFont="1" applyFill="1" applyAlignment="1">
      <alignment horizontal="left"/>
    </xf>
    <xf numFmtId="4" fontId="6" fillId="0" borderId="26" xfId="1" applyNumberFormat="1" applyFont="1" applyBorder="1" applyAlignment="1">
      <alignment horizontal="center" vertical="center" wrapText="1"/>
    </xf>
    <xf numFmtId="4" fontId="6" fillId="0" borderId="38" xfId="1" applyNumberFormat="1" applyFont="1" applyBorder="1" applyAlignment="1">
      <alignment horizontal="center" vertical="center" wrapText="1"/>
    </xf>
    <xf numFmtId="171" fontId="12" fillId="0" borderId="2" xfId="3" applyNumberFormat="1" applyFont="1" applyBorder="1" applyProtection="1">
      <protection hidden="1"/>
    </xf>
    <xf numFmtId="171" fontId="2" fillId="0" borderId="42" xfId="3" applyNumberFormat="1" applyFont="1" applyBorder="1" applyProtection="1">
      <protection hidden="1"/>
    </xf>
    <xf numFmtId="0" fontId="17" fillId="0" borderId="0" xfId="3" applyFont="1" applyAlignment="1">
      <alignment horizontal="center"/>
    </xf>
    <xf numFmtId="3" fontId="6" fillId="0" borderId="0" xfId="1" applyNumberFormat="1" applyFont="1" applyAlignment="1">
      <alignment vertical="center" wrapText="1"/>
    </xf>
    <xf numFmtId="0" fontId="6" fillId="4" borderId="34" xfId="1" applyFont="1" applyFill="1" applyBorder="1" applyAlignment="1">
      <alignment horizontal="left" vertical="center" wrapText="1"/>
    </xf>
    <xf numFmtId="0" fontId="6" fillId="4" borderId="35" xfId="1" applyFont="1" applyFill="1" applyBorder="1" applyAlignment="1">
      <alignment horizontal="left" vertical="center" wrapText="1"/>
    </xf>
    <xf numFmtId="0" fontId="6" fillId="4" borderId="37" xfId="1" applyFont="1" applyFill="1" applyBorder="1" applyAlignment="1">
      <alignment horizontal="left" vertical="center" wrapText="1"/>
    </xf>
    <xf numFmtId="0" fontId="6" fillId="4" borderId="38" xfId="1" applyFont="1" applyFill="1" applyBorder="1" applyAlignment="1">
      <alignment horizontal="left" vertical="center" wrapText="1"/>
    </xf>
    <xf numFmtId="0" fontId="6" fillId="4" borderId="40" xfId="1" applyFont="1" applyFill="1" applyBorder="1" applyAlignment="1">
      <alignment horizontal="left" vertical="center" wrapText="1"/>
    </xf>
    <xf numFmtId="0" fontId="6" fillId="4" borderId="41" xfId="1" applyFont="1" applyFill="1" applyBorder="1" applyAlignment="1">
      <alignment horizontal="left" vertical="center" wrapText="1"/>
    </xf>
    <xf numFmtId="0" fontId="6" fillId="4" borderId="12" xfId="1" applyFont="1" applyFill="1" applyBorder="1" applyAlignment="1">
      <alignment horizontal="left" vertical="center" wrapText="1"/>
    </xf>
    <xf numFmtId="0" fontId="6" fillId="4" borderId="1" xfId="1" applyFont="1" applyFill="1" applyBorder="1" applyAlignment="1">
      <alignment horizontal="left" vertical="center" wrapText="1"/>
    </xf>
    <xf numFmtId="0" fontId="2" fillId="0" borderId="0" xfId="1" applyFont="1" applyAlignment="1">
      <alignment horizontal="center" vertical="center"/>
    </xf>
    <xf numFmtId="0" fontId="4" fillId="0" borderId="0" xfId="1" applyFont="1" applyFill="1" applyBorder="1" applyAlignment="1">
      <alignment horizontal="center"/>
    </xf>
    <xf numFmtId="4" fontId="8" fillId="0" borderId="24" xfId="1" applyNumberFormat="1" applyFont="1" applyFill="1" applyBorder="1" applyAlignment="1">
      <alignment horizontal="center" vertical="center" wrapText="1"/>
    </xf>
    <xf numFmtId="0" fontId="9" fillId="0" borderId="24" xfId="1" applyFont="1" applyFill="1" applyBorder="1" applyAlignment="1">
      <alignment horizontal="center"/>
    </xf>
    <xf numFmtId="0" fontId="11" fillId="3" borderId="7" xfId="3" applyFont="1" applyFill="1" applyBorder="1" applyAlignment="1">
      <alignment horizontal="left" vertical="center"/>
    </xf>
    <xf numFmtId="0" fontId="11" fillId="3" borderId="14" xfId="3" applyFont="1" applyFill="1" applyBorder="1" applyAlignment="1">
      <alignment horizontal="left" vertical="center"/>
    </xf>
    <xf numFmtId="0" fontId="17" fillId="0" borderId="0" xfId="3" applyFont="1" applyAlignment="1">
      <alignment horizontal="center"/>
    </xf>
    <xf numFmtId="0" fontId="17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4" fontId="18" fillId="3" borderId="47" xfId="3" applyNumberFormat="1" applyFont="1" applyFill="1" applyBorder="1"/>
    <xf numFmtId="4" fontId="12" fillId="3" borderId="47" xfId="3" applyNumberFormat="1" applyFont="1" applyFill="1" applyBorder="1"/>
    <xf numFmtId="0" fontId="12" fillId="3" borderId="47" xfId="3" applyFont="1" applyFill="1" applyBorder="1"/>
    <xf numFmtId="2" fontId="12" fillId="3" borderId="47" xfId="3" applyNumberFormat="1" applyFont="1" applyFill="1" applyBorder="1"/>
    <xf numFmtId="4" fontId="12" fillId="3" borderId="48" xfId="3" applyNumberFormat="1" applyFont="1" applyFill="1" applyBorder="1"/>
    <xf numFmtId="4" fontId="12" fillId="4" borderId="47" xfId="3" applyNumberFormat="1" applyFont="1" applyFill="1" applyBorder="1"/>
    <xf numFmtId="2" fontId="12" fillId="4" borderId="47" xfId="3" applyNumberFormat="1" applyFont="1" applyFill="1" applyBorder="1"/>
    <xf numFmtId="4" fontId="12" fillId="4" borderId="48" xfId="3" applyNumberFormat="1" applyFont="1" applyFill="1" applyBorder="1"/>
    <xf numFmtId="4" fontId="2" fillId="3" borderId="17" xfId="3" applyNumberFormat="1" applyFont="1" applyFill="1" applyBorder="1"/>
    <xf numFmtId="3" fontId="12" fillId="0" borderId="0" xfId="3" applyNumberFormat="1" applyFont="1"/>
    <xf numFmtId="171" fontId="12" fillId="5" borderId="2" xfId="3" applyNumberFormat="1" applyFont="1" applyFill="1" applyBorder="1" applyProtection="1">
      <protection hidden="1"/>
    </xf>
    <xf numFmtId="0" fontId="2" fillId="5" borderId="6" xfId="3" applyFont="1" applyFill="1" applyBorder="1" applyAlignment="1" applyProtection="1">
      <alignment horizontal="left" wrapText="1"/>
      <protection hidden="1"/>
    </xf>
  </cellXfs>
  <cellStyles count="6">
    <cellStyle name="Currency 2" xfId="5" xr:uid="{9265F12D-86AB-49FA-B4A2-A24FA68F6ABE}"/>
    <cellStyle name="Normaallaad 4 2" xfId="2" xr:uid="{963A5059-D227-4D99-9409-7AEAB99FBEEC}"/>
    <cellStyle name="Normal" xfId="0" builtinId="0"/>
    <cellStyle name="Normal 2" xfId="3" xr:uid="{A6AE6B69-A00F-409F-9B71-320A1135B7F0}"/>
    <cellStyle name="Normal 5" xfId="1" xr:uid="{0C143EB0-768B-405A-800B-04413BB22A2B}"/>
    <cellStyle name="Percent 2" xfId="4" xr:uid="{0D62C139-7D19-4409-8DC3-3F43438BD8D7}"/>
  </cellStyles>
  <dxfs count="2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fill>
        <patternFill>
          <bgColor rgb="FFFF0000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6_Finantsosakond/12_Projektianal&#252;&#252;s/Projektid/Henri/L&#245;ppraportid/Tegemisel/900532/900532%20Projekti%20l&#245;ppraport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06_Finantsosakond/12_Projektianal&#252;&#252;s/Projektid/Henri/L&#245;ppraportid/Tegemisel/900490_Memoriaal/900490A_AET.3.10.v01%20Projekti%20l&#245;ppraport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r.%20R.%20Kreutzwaldi%20tn%205%20ARVUTUSKESKKOND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kas.rk\public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2_Arendusdivisjon/01_Arenduse_projektid/01_Projektid_Pohja-Eesti/EMTA_Stat%20yyrihange/Hindamine/koondanal&#252;&#252;s_11022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06_Finantsosakond/12_Projektianal&#252;&#252;s/Projektid/Henri/Kindlad%20investeeringud/Riia15%2013.08.2019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Kreutwaldi%205%20TM%20arendus%2026.11.2019%20v2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larve2003"/>
      <sheetName val="prognoos2003"/>
      <sheetName val="prognoos_1902"/>
      <sheetName val="eelarve uus"/>
      <sheetName val="prognoos uus"/>
      <sheetName val="Kreu5uus_prognoos"/>
      <sheetName val="Otsesed kulud"/>
      <sheetName val="EKSPL_A_B_C"/>
      <sheetName val="Lepingu lisa_0 korrus"/>
      <sheetName val="Lisa 6.1 A_ehitus"/>
      <sheetName val="Lisa 6.1 A_sisustus"/>
      <sheetName val="Lisa 6.1 B_ehitus"/>
      <sheetName val="Lisa 6.1 C_ehitus"/>
      <sheetName val="Lisa 6.1 C_sisustus"/>
      <sheetName val="Lisa3_EGT_A"/>
      <sheetName val="ag_BIL_EGT_A"/>
      <sheetName val="ag_INV_EGT_A"/>
      <sheetName val="ag_INV_EGT_C"/>
      <sheetName val="ag_TS_EGT_A"/>
      <sheetName val="Lisa3_LVAK SA"/>
      <sheetName val="ag_BIL_LVAK SA"/>
      <sheetName val="ag_INV_LVAK SA"/>
      <sheetName val="ag_TS_LVAK SA"/>
      <sheetName val="Lisa3_VIROL MTÜ"/>
      <sheetName val="ag_BIL_VIROL MTÜ"/>
      <sheetName val="ag_INV_VIROL MTÜ"/>
      <sheetName val="ag_TS_VIROL MTÜ"/>
      <sheetName val="Lisa3_MA"/>
      <sheetName val="ag_BIL_MA"/>
      <sheetName val="ag_INV_MA"/>
      <sheetName val="ag_TS_MA"/>
      <sheetName val="Lisa3_MKA"/>
      <sheetName val="ag_BIL_MKA"/>
      <sheetName val="ag_INV_MKA"/>
      <sheetName val="ag_TS_MKA"/>
      <sheetName val="Lisa3_PMA"/>
      <sheetName val="ag_BIL_PMA"/>
      <sheetName val="ag_INV_PMA"/>
      <sheetName val="ag_TS_PMA"/>
      <sheetName val="Lisa3_PRIA"/>
      <sheetName val="ag_BIL_PRIA"/>
      <sheetName val="ag_INV_PRIA"/>
      <sheetName val="ag_TS_PRIA"/>
      <sheetName val="Lisa3_RaM"/>
      <sheetName val="ag_BIL_RaM"/>
      <sheetName val="ag_INV_RaM"/>
      <sheetName val="ag_TS_RaM"/>
      <sheetName val="Lisa3_RKK"/>
      <sheetName val="ag_BIL_RKK"/>
      <sheetName val="ag_INV_RKK"/>
      <sheetName val="ag_TS_RKK"/>
      <sheetName val="Lisa3_SiM"/>
      <sheetName val="ag_BIL_SiM"/>
      <sheetName val="ag_INV_SiM"/>
      <sheetName val="ag_TS_SiM"/>
      <sheetName val="Lisa3_TA"/>
      <sheetName val="ag_BIL_TA"/>
      <sheetName val="ag_INV_TA"/>
      <sheetName val="Lisa3_TI"/>
      <sheetName val="ag_BIL_TI"/>
      <sheetName val="ag_INV_TI"/>
      <sheetName val="Lisa3_ETKI"/>
      <sheetName val="ag_BIL_ETKI"/>
      <sheetName val="ag_INV_ETKI"/>
      <sheetName val="ag_TS_ETK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/>
      <sheetData sheetId="2"/>
      <sheetData sheetId="3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DEL uus"/>
      <sheetName val="Kreu5uus_prognoos"/>
      <sheetName val="Kreu5uus_eelarve"/>
      <sheetName val="MUDEL"/>
      <sheetName val="Kreu5_eelarve"/>
      <sheetName val="Amortisatsioon"/>
      <sheetName val="Kreu5_prognoos"/>
      <sheetName val="Investeeringud 1.3.2019"/>
      <sheetName val="Pinnad"/>
      <sheetName val="Päring (2)"/>
      <sheetName val="Lisa 6.1 A_ehitus"/>
      <sheetName val="Lisa 6.1 A_sisustus"/>
      <sheetName val="A_sisendinfo"/>
      <sheetName val="Lisa 6.1 B_ehitus"/>
      <sheetName val="B_sisendinfo"/>
      <sheetName val="Lisa 6.1 C_ehitus"/>
      <sheetName val="Lisa 6.1 C_sisustus vana"/>
      <sheetName val="Lisa 6.1 C_sisustus"/>
      <sheetName val="C_sisendinfo"/>
    </sheetNames>
    <sheetDataSet>
      <sheetData sheetId="0"/>
      <sheetData sheetId="1"/>
      <sheetData sheetId="2"/>
      <sheetData sheetId="3">
        <row r="1">
          <cell r="BA1">
            <v>4.5999999999999999E-2</v>
          </cell>
        </row>
      </sheetData>
      <sheetData sheetId="4"/>
      <sheetData sheetId="5"/>
      <sheetData sheetId="6"/>
      <sheetData sheetId="7"/>
      <sheetData sheetId="8"/>
      <sheetData sheetId="9"/>
      <sheetData sheetId="10">
        <row r="17">
          <cell r="AM17">
            <v>1299.6999999999998</v>
          </cell>
        </row>
      </sheetData>
      <sheetData sheetId="11">
        <row r="29">
          <cell r="E29">
            <v>35128</v>
          </cell>
        </row>
      </sheetData>
      <sheetData sheetId="12"/>
      <sheetData sheetId="13">
        <row r="12">
          <cell r="AA12">
            <v>208.10000000000002</v>
          </cell>
        </row>
      </sheetData>
      <sheetData sheetId="14"/>
      <sheetData sheetId="15"/>
      <sheetData sheetId="16"/>
      <sheetData sheetId="17"/>
      <sheetData sheetId="1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C54EF-41DA-4D1D-AC22-AF14C114090F}">
  <sheetPr codeName="Sheet5"/>
  <dimension ref="B1:AF80"/>
  <sheetViews>
    <sheetView topLeftCell="D1" workbookViewId="0">
      <selection activeCell="I51" sqref="I51"/>
    </sheetView>
  </sheetViews>
  <sheetFormatPr defaultColWidth="9.140625" defaultRowHeight="15" outlineLevelCol="1" x14ac:dyDescent="0.25"/>
  <cols>
    <col min="1" max="1" width="3.7109375" style="2" customWidth="1"/>
    <col min="2" max="2" width="9.28515625" style="2" customWidth="1"/>
    <col min="3" max="3" width="71.140625" style="2" customWidth="1"/>
    <col min="4" max="4" width="15.5703125" style="3" customWidth="1"/>
    <col min="5" max="5" width="11.85546875" style="2" customWidth="1"/>
    <col min="6" max="6" width="12.42578125" style="2" customWidth="1"/>
    <col min="7" max="7" width="12" style="2" customWidth="1"/>
    <col min="8" max="8" width="12.42578125" style="2" customWidth="1"/>
    <col min="9" max="9" width="13.7109375" style="2" bestFit="1" customWidth="1"/>
    <col min="10" max="10" width="9.140625" style="2"/>
    <col min="11" max="11" width="41" style="2" bestFit="1" customWidth="1"/>
    <col min="12" max="12" width="10.85546875" style="2" customWidth="1"/>
    <col min="13" max="13" width="9.85546875" style="2" customWidth="1"/>
    <col min="14" max="14" width="10.85546875" style="2" customWidth="1"/>
    <col min="15" max="15" width="9.85546875" style="2" customWidth="1"/>
    <col min="16" max="16" width="10.85546875" style="2" customWidth="1"/>
    <col min="17" max="17" width="9.85546875" style="2" customWidth="1"/>
    <col min="18" max="18" width="11.28515625" style="2" bestFit="1" customWidth="1"/>
    <col min="19" max="19" width="10.85546875" style="2" customWidth="1"/>
    <col min="20" max="20" width="11.28515625" style="2" bestFit="1" customWidth="1"/>
    <col min="21" max="21" width="9.140625" style="2"/>
    <col min="22" max="22" width="9.140625" style="94"/>
    <col min="23" max="23" width="9.140625" style="2"/>
    <col min="24" max="24" width="44.85546875" style="2" hidden="1" customWidth="1" outlineLevel="1"/>
    <col min="25" max="25" width="18.5703125" style="2" hidden="1" customWidth="1" outlineLevel="1"/>
    <col min="26" max="26" width="26.5703125" style="2" hidden="1" customWidth="1" outlineLevel="1"/>
    <col min="27" max="27" width="24.7109375" style="2" hidden="1" customWidth="1" outlineLevel="1"/>
    <col min="28" max="28" width="23" style="2" hidden="1" customWidth="1" outlineLevel="1"/>
    <col min="29" max="31" width="9.140625" style="2" hidden="1" customWidth="1" outlineLevel="1"/>
    <col min="32" max="32" width="13" style="2" bestFit="1" customWidth="1" collapsed="1"/>
    <col min="33" max="16384" width="9.140625" style="2"/>
  </cols>
  <sheetData>
    <row r="1" spans="2:32" x14ac:dyDescent="0.25">
      <c r="B1" s="1"/>
      <c r="H1" s="4" t="s">
        <v>0</v>
      </c>
      <c r="AF1" s="5" t="s">
        <v>1</v>
      </c>
    </row>
    <row r="2" spans="2:32" x14ac:dyDescent="0.25">
      <c r="H2" s="6" t="s">
        <v>2</v>
      </c>
    </row>
    <row r="4" spans="2:32" x14ac:dyDescent="0.25">
      <c r="B4" s="257" t="s">
        <v>166</v>
      </c>
      <c r="C4" s="257"/>
      <c r="D4" s="257"/>
      <c r="X4" s="161" t="s">
        <v>1</v>
      </c>
    </row>
    <row r="5" spans="2:32" x14ac:dyDescent="0.25">
      <c r="M5" s="222"/>
      <c r="N5" s="223"/>
    </row>
    <row r="6" spans="2:32" x14ac:dyDescent="0.25">
      <c r="B6" s="7"/>
      <c r="E6" s="258"/>
      <c r="F6" s="258"/>
      <c r="G6" s="258"/>
      <c r="H6" s="258"/>
    </row>
    <row r="7" spans="2:32" ht="15.75" thickBot="1" x14ac:dyDescent="0.3">
      <c r="B7" s="7"/>
      <c r="E7" s="259"/>
      <c r="F7" s="259"/>
      <c r="G7" s="260"/>
      <c r="H7" s="260"/>
    </row>
    <row r="8" spans="2:32" ht="45" x14ac:dyDescent="0.25">
      <c r="B8" s="8" t="s">
        <v>3</v>
      </c>
      <c r="C8" s="9" t="s">
        <v>165</v>
      </c>
      <c r="D8" s="10" t="s">
        <v>4</v>
      </c>
      <c r="E8" s="243" t="s">
        <v>5</v>
      </c>
      <c r="F8" s="244" t="s">
        <v>6</v>
      </c>
      <c r="G8" s="244" t="s">
        <v>7</v>
      </c>
      <c r="H8" s="244" t="s">
        <v>8</v>
      </c>
      <c r="K8" s="261" t="s">
        <v>9</v>
      </c>
      <c r="L8" s="11"/>
      <c r="M8" s="12" t="s">
        <v>10</v>
      </c>
      <c r="N8" s="13" t="s">
        <v>111</v>
      </c>
      <c r="O8" s="12" t="s">
        <v>144</v>
      </c>
      <c r="P8" s="13" t="s">
        <v>145</v>
      </c>
      <c r="Q8" s="12" t="s">
        <v>146</v>
      </c>
      <c r="R8" s="13" t="s">
        <v>147</v>
      </c>
      <c r="S8" s="12" t="s">
        <v>148</v>
      </c>
      <c r="T8" s="13" t="s">
        <v>149</v>
      </c>
      <c r="U8" s="162"/>
      <c r="X8" s="163" t="s">
        <v>11</v>
      </c>
      <c r="Y8" s="164" t="s">
        <v>12</v>
      </c>
      <c r="Z8" s="164" t="s">
        <v>13</v>
      </c>
      <c r="AA8" s="164" t="s">
        <v>14</v>
      </c>
      <c r="AB8" s="164" t="s">
        <v>15</v>
      </c>
      <c r="AC8" s="164" t="s">
        <v>16</v>
      </c>
      <c r="AD8" s="165" t="s">
        <v>17</v>
      </c>
    </row>
    <row r="9" spans="2:32" ht="14.25" customHeight="1" x14ac:dyDescent="0.25">
      <c r="B9" s="255" t="s">
        <v>18</v>
      </c>
      <c r="C9" s="256"/>
      <c r="D9" s="14">
        <f>SUM(D10+D12+D21+D25)</f>
        <v>13325</v>
      </c>
      <c r="E9" s="15"/>
      <c r="F9" s="16"/>
      <c r="G9" s="16"/>
      <c r="H9" s="16">
        <f t="shared" ref="H9" si="0">SUM(H10+H12+H21+H25)</f>
        <v>0</v>
      </c>
      <c r="K9" s="262"/>
      <c r="L9" s="17"/>
      <c r="M9" s="18">
        <f>AD9</f>
        <v>0.16915743365112085</v>
      </c>
      <c r="N9" s="19"/>
      <c r="O9" s="18">
        <f>AD10</f>
        <v>0.21447944631785026</v>
      </c>
      <c r="P9" s="19"/>
      <c r="Q9" s="18">
        <f>AD11</f>
        <v>0.28226127146677998</v>
      </c>
      <c r="R9" s="19"/>
      <c r="S9" s="18">
        <f>AD12</f>
        <v>0.33410184856424885</v>
      </c>
      <c r="T9" s="19"/>
      <c r="U9" s="168"/>
      <c r="X9" s="169" t="s">
        <v>19</v>
      </c>
      <c r="Y9" s="20">
        <v>131.30000000000001</v>
      </c>
      <c r="Z9" s="20">
        <v>0</v>
      </c>
      <c r="AA9" s="20">
        <v>0</v>
      </c>
      <c r="AB9" s="20">
        <v>0</v>
      </c>
      <c r="AC9" s="20">
        <v>131.30000000000001</v>
      </c>
      <c r="AD9" s="170">
        <v>0.16915743365112085</v>
      </c>
    </row>
    <row r="10" spans="2:32" ht="15.75" x14ac:dyDescent="0.25">
      <c r="B10" s="22">
        <v>1</v>
      </c>
      <c r="C10" s="23" t="s">
        <v>20</v>
      </c>
      <c r="D10" s="24">
        <f>SUM(D11:D11)</f>
        <v>0</v>
      </c>
      <c r="E10" s="25"/>
      <c r="F10" s="26"/>
      <c r="G10" s="26"/>
      <c r="H10" s="26">
        <f t="shared" ref="H10" si="1">SUM(H11:H11)</f>
        <v>0</v>
      </c>
      <c r="K10" s="27" t="s">
        <v>21</v>
      </c>
      <c r="L10" s="28"/>
      <c r="M10" s="29"/>
      <c r="N10" s="30">
        <f>$U$10*M9</f>
        <v>70794.415872197889</v>
      </c>
      <c r="O10" s="31"/>
      <c r="P10" s="30">
        <f>$U$10*O9</f>
        <v>89762.222037376152</v>
      </c>
      <c r="Q10" s="31"/>
      <c r="R10" s="30">
        <f>$U$10*Q9</f>
        <v>118129.72924410502</v>
      </c>
      <c r="S10" s="41"/>
      <c r="T10" s="30">
        <f>$U$10*S9</f>
        <v>139825.63284632092</v>
      </c>
      <c r="U10" s="173">
        <f>D59-D25</f>
        <v>418512</v>
      </c>
      <c r="V10" s="95"/>
      <c r="X10" s="169" t="s">
        <v>150</v>
      </c>
      <c r="Y10" s="20">
        <v>164.00000000000003</v>
      </c>
      <c r="Z10" s="20">
        <v>0</v>
      </c>
      <c r="AA10" s="20">
        <v>0</v>
      </c>
      <c r="AB10" s="20">
        <v>2.4789462319153537</v>
      </c>
      <c r="AC10" s="20">
        <v>166.47894623191539</v>
      </c>
      <c r="AD10" s="170">
        <v>0.21447944631785026</v>
      </c>
    </row>
    <row r="11" spans="2:32" ht="15.75" x14ac:dyDescent="0.25">
      <c r="B11" s="32" t="s">
        <v>22</v>
      </c>
      <c r="C11" s="33"/>
      <c r="D11" s="34" t="s">
        <v>23</v>
      </c>
      <c r="E11" s="174"/>
      <c r="F11" s="189"/>
      <c r="G11" s="176"/>
      <c r="H11" s="35" t="str">
        <f>IF(ISBLANK(G11),"",D11-D11/G11*10)</f>
        <v/>
      </c>
      <c r="K11" s="36" t="s">
        <v>24</v>
      </c>
      <c r="L11" s="37"/>
      <c r="M11" s="38"/>
      <c r="N11" s="39">
        <f>$U$11*M9</f>
        <v>1691.5743365112085</v>
      </c>
      <c r="O11" s="40"/>
      <c r="P11" s="39">
        <f>$U$11*O9</f>
        <v>2144.7944631785026</v>
      </c>
      <c r="Q11" s="40"/>
      <c r="R11" s="39">
        <f>$U$11*Q9</f>
        <v>2822.6127146678</v>
      </c>
      <c r="S11" s="41"/>
      <c r="T11" s="39">
        <f>$U$11*S9</f>
        <v>3341.0184856424885</v>
      </c>
      <c r="U11" s="177">
        <f>D25</f>
        <v>10000</v>
      </c>
      <c r="V11" s="95"/>
      <c r="X11" s="169" t="s">
        <v>151</v>
      </c>
      <c r="Y11" s="20">
        <v>123.5</v>
      </c>
      <c r="Z11" s="20">
        <v>76.769978046103191</v>
      </c>
      <c r="AA11" s="20">
        <v>0</v>
      </c>
      <c r="AB11" s="20">
        <v>18.82122086641148</v>
      </c>
      <c r="AC11" s="20">
        <v>219.09119891251464</v>
      </c>
      <c r="AD11" s="170">
        <v>0.28226127146677998</v>
      </c>
    </row>
    <row r="12" spans="2:32" ht="15" customHeight="1" x14ac:dyDescent="0.25">
      <c r="B12" s="22">
        <v>2</v>
      </c>
      <c r="C12" s="23" t="s">
        <v>25</v>
      </c>
      <c r="D12" s="24">
        <f>SUM(D13:D20)</f>
        <v>3325</v>
      </c>
      <c r="E12" s="171"/>
      <c r="F12" s="172"/>
      <c r="G12" s="172"/>
      <c r="H12" s="172">
        <f t="shared" ref="H12" si="2">SUM(H13:H20)</f>
        <v>0</v>
      </c>
      <c r="K12" s="42" t="s">
        <v>26</v>
      </c>
      <c r="L12" s="43"/>
      <c r="M12" s="44"/>
      <c r="N12" s="45">
        <f>SUM(N10:N11)</f>
        <v>72485.990208709103</v>
      </c>
      <c r="O12" s="46"/>
      <c r="P12" s="45">
        <f>SUM(P10:P11)</f>
        <v>91907.016500554659</v>
      </c>
      <c r="Q12" s="46"/>
      <c r="R12" s="45">
        <f>SUM(R10:R11)</f>
        <v>120952.34195877283</v>
      </c>
      <c r="S12" s="43"/>
      <c r="T12" s="45">
        <f>SUM(T10:T11)</f>
        <v>143166.6513319634</v>
      </c>
      <c r="U12" s="178">
        <f>SUM(U10:U11)</f>
        <v>428512</v>
      </c>
      <c r="V12" s="95"/>
      <c r="X12" s="169" t="s">
        <v>152</v>
      </c>
      <c r="Y12" s="20">
        <v>175.6</v>
      </c>
      <c r="Z12" s="20">
        <v>49.130021953896822</v>
      </c>
      <c r="AA12" s="20">
        <v>0</v>
      </c>
      <c r="AB12" s="20">
        <v>34.59983290167316</v>
      </c>
      <c r="AC12" s="20">
        <v>259.32985485556998</v>
      </c>
      <c r="AD12" s="170">
        <v>0.33410184856424885</v>
      </c>
    </row>
    <row r="13" spans="2:32" ht="15.75" x14ac:dyDescent="0.25">
      <c r="B13" s="32" t="s">
        <v>27</v>
      </c>
      <c r="C13" s="33" t="s">
        <v>28</v>
      </c>
      <c r="D13" s="34">
        <v>3325</v>
      </c>
      <c r="E13" s="174"/>
      <c r="F13" s="189"/>
      <c r="G13" s="47">
        <v>10</v>
      </c>
      <c r="H13" s="35">
        <f>IF(ISBLANK(G13),"",D13-D13/G13*10)</f>
        <v>0</v>
      </c>
      <c r="K13" s="36" t="s">
        <v>29</v>
      </c>
      <c r="L13" s="41"/>
      <c r="M13" s="48"/>
      <c r="N13" s="39">
        <f>$U$13*M9</f>
        <v>1812.1497552177275</v>
      </c>
      <c r="O13" s="40"/>
      <c r="P13" s="39">
        <f>$U$13*O9</f>
        <v>2297.6754125138664</v>
      </c>
      <c r="Q13" s="40"/>
      <c r="R13" s="39">
        <f>$U$13*Q9</f>
        <v>3023.8085489693208</v>
      </c>
      <c r="S13" s="41"/>
      <c r="T13" s="39">
        <f>$U$13*S9</f>
        <v>3579.1662832990855</v>
      </c>
      <c r="U13" s="177">
        <f>D62</f>
        <v>10712.800000000001</v>
      </c>
      <c r="V13" s="95"/>
      <c r="X13" s="169" t="s">
        <v>39</v>
      </c>
      <c r="Y13" s="20">
        <v>0</v>
      </c>
      <c r="Z13" s="20">
        <v>0</v>
      </c>
      <c r="AA13" s="20">
        <v>0</v>
      </c>
      <c r="AB13" s="20">
        <v>0</v>
      </c>
      <c r="AC13" s="20">
        <v>0</v>
      </c>
      <c r="AD13" s="170">
        <v>0</v>
      </c>
    </row>
    <row r="14" spans="2:32" ht="16.5" thickBot="1" x14ac:dyDescent="0.3">
      <c r="B14" s="32" t="s">
        <v>30</v>
      </c>
      <c r="C14" s="33" t="s">
        <v>31</v>
      </c>
      <c r="D14" s="34" t="s">
        <v>23</v>
      </c>
      <c r="E14" s="174"/>
      <c r="F14" s="189"/>
      <c r="G14" s="176"/>
      <c r="H14" s="35" t="str">
        <f t="shared" ref="H14:H20" si="3">IF(ISBLANK(G14),"",D14-D14/G14*10)</f>
        <v/>
      </c>
      <c r="K14" s="36" t="s">
        <v>32</v>
      </c>
      <c r="L14" s="41"/>
      <c r="M14" s="48"/>
      <c r="N14" s="39">
        <f>$U$14*M9</f>
        <v>1690.8097449111053</v>
      </c>
      <c r="O14" s="40"/>
      <c r="P14" s="39">
        <f>$U$14*O9</f>
        <v>2143.8250160811458</v>
      </c>
      <c r="Q14" s="40"/>
      <c r="R14" s="39">
        <f>$U$14*Q9</f>
        <v>2821.3368937207697</v>
      </c>
      <c r="S14" s="41"/>
      <c r="T14" s="39">
        <f>$U$14*S9</f>
        <v>3339.5083452869781</v>
      </c>
      <c r="U14" s="177">
        <f>D60</f>
        <v>9995.48</v>
      </c>
      <c r="V14" s="95"/>
      <c r="X14" s="179" t="s">
        <v>43</v>
      </c>
      <c r="Y14" s="180">
        <v>594.40000000000009</v>
      </c>
      <c r="Z14" s="180">
        <v>125.9</v>
      </c>
      <c r="AA14" s="180">
        <v>0</v>
      </c>
      <c r="AB14" s="180">
        <v>55.899999999999991</v>
      </c>
      <c r="AC14" s="180">
        <v>776.2</v>
      </c>
      <c r="AD14" s="181">
        <v>1</v>
      </c>
    </row>
    <row r="15" spans="2:32" ht="15.75" x14ac:dyDescent="0.25">
      <c r="B15" s="32" t="s">
        <v>33</v>
      </c>
      <c r="C15" s="33" t="s">
        <v>34</v>
      </c>
      <c r="D15" s="34" t="s">
        <v>23</v>
      </c>
      <c r="E15" s="174"/>
      <c r="F15" s="189"/>
      <c r="G15" s="176"/>
      <c r="H15" s="35" t="str">
        <f t="shared" si="3"/>
        <v/>
      </c>
      <c r="K15" s="49" t="s">
        <v>35</v>
      </c>
      <c r="L15" s="50"/>
      <c r="M15" s="51"/>
      <c r="N15" s="50">
        <f>SUM(N12:N14)</f>
        <v>75988.949708837943</v>
      </c>
      <c r="O15" s="52"/>
      <c r="P15" s="50">
        <f>SUM(P12:P14)</f>
        <v>96348.516929149671</v>
      </c>
      <c r="Q15" s="52"/>
      <c r="R15" s="50">
        <f t="shared" ref="R15:T15" si="4">SUM(R12:R14)</f>
        <v>126797.48740146292</v>
      </c>
      <c r="S15" s="52"/>
      <c r="T15" s="50">
        <f t="shared" si="4"/>
        <v>150085.32596054947</v>
      </c>
      <c r="U15" s="183">
        <f>SUM(U12:U14)</f>
        <v>449220.27999999997</v>
      </c>
      <c r="V15" s="95"/>
      <c r="X15" s="185"/>
      <c r="Y15" s="186"/>
      <c r="Z15" s="186"/>
      <c r="AA15" s="186"/>
      <c r="AB15" s="186"/>
      <c r="AC15" s="186"/>
      <c r="AD15" s="133"/>
    </row>
    <row r="16" spans="2:32" ht="15.75" x14ac:dyDescent="0.25">
      <c r="B16" s="32" t="s">
        <v>36</v>
      </c>
      <c r="C16" s="33" t="s">
        <v>37</v>
      </c>
      <c r="D16" s="34" t="s">
        <v>23</v>
      </c>
      <c r="E16" s="174"/>
      <c r="F16" s="189"/>
      <c r="G16" s="176"/>
      <c r="H16" s="35" t="str">
        <f t="shared" si="3"/>
        <v/>
      </c>
      <c r="K16" s="36" t="s">
        <v>38</v>
      </c>
      <c r="L16" s="53"/>
      <c r="M16" s="41"/>
      <c r="N16" s="39">
        <f>$U$16*M9</f>
        <v>23301.436485441896</v>
      </c>
      <c r="O16" s="41"/>
      <c r="P16" s="39">
        <f>$U$16*O9</f>
        <v>29544.543730283873</v>
      </c>
      <c r="Q16" s="41"/>
      <c r="R16" s="39">
        <f>$U$16*Q9</f>
        <v>38881.490144548945</v>
      </c>
      <c r="S16" s="41"/>
      <c r="T16" s="39">
        <f>$U$16*S9</f>
        <v>46022.529639725282</v>
      </c>
      <c r="U16" s="177">
        <f>SUM(E59:F59)</f>
        <v>137750</v>
      </c>
      <c r="V16" s="95"/>
      <c r="X16" s="182"/>
      <c r="Y16" s="132"/>
      <c r="Z16" s="132"/>
      <c r="AA16" s="132"/>
      <c r="AB16" s="132"/>
      <c r="AC16" s="132"/>
      <c r="AD16" s="133"/>
    </row>
    <row r="17" spans="2:30" ht="16.5" thickBot="1" x14ac:dyDescent="0.3">
      <c r="B17" s="32" t="s">
        <v>40</v>
      </c>
      <c r="C17" s="33" t="s">
        <v>41</v>
      </c>
      <c r="D17" s="34" t="s">
        <v>23</v>
      </c>
      <c r="E17" s="174"/>
      <c r="F17" s="189"/>
      <c r="G17" s="176"/>
      <c r="H17" s="35" t="str">
        <f t="shared" si="3"/>
        <v/>
      </c>
      <c r="K17" s="54" t="s">
        <v>42</v>
      </c>
      <c r="L17" s="55"/>
      <c r="M17" s="56"/>
      <c r="N17" s="57">
        <f>$U$17*M9</f>
        <v>4341.7074637121023</v>
      </c>
      <c r="O17" s="56"/>
      <c r="P17" s="57">
        <f>$U$17*O9</f>
        <v>5504.9724554914901</v>
      </c>
      <c r="Q17" s="56"/>
      <c r="R17" s="57">
        <f>$U$17*Q9</f>
        <v>7244.7059676473536</v>
      </c>
      <c r="S17" s="56"/>
      <c r="T17" s="57">
        <f>$U$17*S9</f>
        <v>8575.280779815721</v>
      </c>
      <c r="U17" s="184">
        <f>H59</f>
        <v>25666.666666666668</v>
      </c>
      <c r="V17" s="95"/>
      <c r="X17" s="185"/>
      <c r="Y17" s="186"/>
      <c r="Z17" s="186"/>
      <c r="AA17" s="186"/>
      <c r="AB17" s="186"/>
      <c r="AC17" s="186"/>
      <c r="AD17" s="224"/>
    </row>
    <row r="18" spans="2:30" x14ac:dyDescent="0.25">
      <c r="B18" s="32" t="s">
        <v>44</v>
      </c>
      <c r="C18" s="33" t="s">
        <v>45</v>
      </c>
      <c r="D18" s="34" t="s">
        <v>23</v>
      </c>
      <c r="E18" s="174"/>
      <c r="F18" s="189"/>
      <c r="G18" s="176"/>
      <c r="H18" s="35" t="str">
        <f t="shared" si="3"/>
        <v/>
      </c>
      <c r="AC18" s="225"/>
    </row>
    <row r="19" spans="2:30" x14ac:dyDescent="0.25">
      <c r="B19" s="32" t="s">
        <v>46</v>
      </c>
      <c r="C19" s="33" t="s">
        <v>47</v>
      </c>
      <c r="D19" s="34" t="s">
        <v>23</v>
      </c>
      <c r="E19" s="174"/>
      <c r="F19" s="189"/>
      <c r="G19" s="176"/>
      <c r="H19" s="35" t="str">
        <f t="shared" si="3"/>
        <v/>
      </c>
      <c r="J19" s="94"/>
      <c r="K19" s="94"/>
      <c r="L19" s="94"/>
      <c r="M19" s="94"/>
    </row>
    <row r="20" spans="2:30" x14ac:dyDescent="0.25">
      <c r="B20" s="32" t="s">
        <v>48</v>
      </c>
      <c r="C20" s="33" t="s">
        <v>49</v>
      </c>
      <c r="D20" s="34" t="s">
        <v>23</v>
      </c>
      <c r="E20" s="174"/>
      <c r="F20" s="189"/>
      <c r="G20" s="176"/>
      <c r="H20" s="35" t="str">
        <f t="shared" si="3"/>
        <v/>
      </c>
      <c r="J20" s="94"/>
      <c r="K20" s="94"/>
      <c r="L20" s="95"/>
      <c r="M20" s="94"/>
    </row>
    <row r="21" spans="2:30" x14ac:dyDescent="0.25">
      <c r="B21" s="22">
        <v>3</v>
      </c>
      <c r="C21" s="23" t="s">
        <v>50</v>
      </c>
      <c r="D21" s="24">
        <f>SUM(D22:D24)</f>
        <v>0</v>
      </c>
      <c r="E21" s="171"/>
      <c r="F21" s="190"/>
      <c r="G21" s="172"/>
      <c r="H21" s="172">
        <f t="shared" ref="H21" si="5">SUM(H22:H24)</f>
        <v>0</v>
      </c>
      <c r="J21" s="94"/>
      <c r="K21" s="94"/>
      <c r="L21" s="94"/>
      <c r="M21" s="94"/>
    </row>
    <row r="22" spans="2:30" x14ac:dyDescent="0.25">
      <c r="B22" s="32" t="s">
        <v>51</v>
      </c>
      <c r="C22" s="33"/>
      <c r="D22" s="34" t="s">
        <v>23</v>
      </c>
      <c r="E22" s="174"/>
      <c r="F22" s="189"/>
      <c r="G22" s="176"/>
      <c r="H22" s="35" t="str">
        <f t="shared" ref="H22:H24" si="6">IF(ISBLANK(G22),"",D22-D22/G22*10)</f>
        <v/>
      </c>
    </row>
    <row r="23" spans="2:30" x14ac:dyDescent="0.25">
      <c r="B23" s="32" t="s">
        <v>52</v>
      </c>
      <c r="C23" s="33"/>
      <c r="D23" s="34" t="s">
        <v>23</v>
      </c>
      <c r="E23" s="174"/>
      <c r="F23" s="189"/>
      <c r="G23" s="176"/>
      <c r="H23" s="35" t="str">
        <f t="shared" si="6"/>
        <v/>
      </c>
      <c r="I23" s="58"/>
    </row>
    <row r="24" spans="2:30" x14ac:dyDescent="0.25">
      <c r="B24" s="32" t="s">
        <v>53</v>
      </c>
      <c r="C24" s="33"/>
      <c r="D24" s="34" t="s">
        <v>23</v>
      </c>
      <c r="E24" s="174"/>
      <c r="F24" s="189"/>
      <c r="G24" s="176"/>
      <c r="H24" s="35" t="str">
        <f t="shared" si="6"/>
        <v/>
      </c>
    </row>
    <row r="25" spans="2:30" x14ac:dyDescent="0.25">
      <c r="B25" s="22">
        <v>4</v>
      </c>
      <c r="C25" s="59" t="s">
        <v>54</v>
      </c>
      <c r="D25" s="24">
        <f>SUM(D26:D26)</f>
        <v>10000</v>
      </c>
      <c r="E25" s="171"/>
      <c r="F25" s="191"/>
      <c r="G25" s="172"/>
      <c r="H25" s="172">
        <f t="shared" ref="H25" si="7">SUM(H26:H26)</f>
        <v>0</v>
      </c>
    </row>
    <row r="26" spans="2:30" x14ac:dyDescent="0.25">
      <c r="B26" s="32" t="s">
        <v>55</v>
      </c>
      <c r="C26" s="33"/>
      <c r="D26" s="34">
        <v>10000</v>
      </c>
      <c r="E26" s="174"/>
      <c r="F26" s="189"/>
      <c r="G26" s="47">
        <v>10</v>
      </c>
      <c r="H26" s="35">
        <f>IF(ISBLANK(G26),"",D26-D26/G26*10)</f>
        <v>0</v>
      </c>
    </row>
    <row r="27" spans="2:30" ht="14.25" customHeight="1" x14ac:dyDescent="0.25">
      <c r="B27" s="255" t="s">
        <v>56</v>
      </c>
      <c r="C27" s="256"/>
      <c r="D27" s="14">
        <f>SUM(D28+D32)</f>
        <v>414205</v>
      </c>
      <c r="E27" s="166"/>
      <c r="F27" s="192"/>
      <c r="G27" s="167"/>
      <c r="H27" s="167">
        <f t="shared" ref="H27" si="8">SUM(H28+H32)</f>
        <v>25666.666666666668</v>
      </c>
    </row>
    <row r="28" spans="2:30" x14ac:dyDescent="0.25">
      <c r="B28" s="22">
        <v>5</v>
      </c>
      <c r="C28" s="23" t="s">
        <v>57</v>
      </c>
      <c r="D28" s="24">
        <f>SUM(D29:D31)</f>
        <v>0</v>
      </c>
      <c r="E28" s="171"/>
      <c r="F28" s="172"/>
      <c r="G28" s="172">
        <f t="shared" ref="G28:H28" si="9">SUM(G29:G31)</f>
        <v>0</v>
      </c>
      <c r="H28" s="172">
        <f t="shared" si="9"/>
        <v>0</v>
      </c>
    </row>
    <row r="29" spans="2:30" x14ac:dyDescent="0.25">
      <c r="B29" s="32" t="s">
        <v>58</v>
      </c>
      <c r="C29" s="33"/>
      <c r="D29" s="34" t="s">
        <v>23</v>
      </c>
      <c r="E29" s="174"/>
      <c r="F29" s="189"/>
      <c r="G29" s="176"/>
      <c r="H29" s="35" t="str">
        <f t="shared" ref="H29:H31" si="10">IF(ISBLANK(G29),"",D29-D29/G29*10)</f>
        <v/>
      </c>
    </row>
    <row r="30" spans="2:30" x14ac:dyDescent="0.25">
      <c r="B30" s="32" t="s">
        <v>59</v>
      </c>
      <c r="C30" s="33"/>
      <c r="D30" s="34" t="s">
        <v>23</v>
      </c>
      <c r="E30" s="174"/>
      <c r="F30" s="189"/>
      <c r="G30" s="176"/>
      <c r="H30" s="35" t="str">
        <f t="shared" si="10"/>
        <v/>
      </c>
      <c r="K30" s="193"/>
    </row>
    <row r="31" spans="2:30" x14ac:dyDescent="0.25">
      <c r="B31" s="32" t="s">
        <v>53</v>
      </c>
      <c r="C31" s="33"/>
      <c r="D31" s="34" t="s">
        <v>23</v>
      </c>
      <c r="E31" s="174"/>
      <c r="F31" s="189"/>
      <c r="G31" s="176"/>
      <c r="H31" s="35" t="str">
        <f t="shared" si="10"/>
        <v/>
      </c>
    </row>
    <row r="32" spans="2:30" x14ac:dyDescent="0.25">
      <c r="B32" s="22">
        <v>6</v>
      </c>
      <c r="C32" s="23" t="s">
        <v>60</v>
      </c>
      <c r="D32" s="24">
        <f>SUM(D33:D50)</f>
        <v>414205</v>
      </c>
      <c r="E32" s="171"/>
      <c r="F32" s="190"/>
      <c r="G32" s="172"/>
      <c r="H32" s="172">
        <f t="shared" ref="H32" si="11">SUM(H33:H49)</f>
        <v>25666.666666666668</v>
      </c>
    </row>
    <row r="33" spans="2:10" x14ac:dyDescent="0.25">
      <c r="B33" s="60" t="s">
        <v>61</v>
      </c>
      <c r="C33" s="33" t="s">
        <v>141</v>
      </c>
      <c r="D33" s="34">
        <v>10000</v>
      </c>
      <c r="E33" s="188"/>
      <c r="F33" s="175"/>
      <c r="G33" s="47">
        <v>10</v>
      </c>
      <c r="H33" s="35">
        <f t="shared" ref="H33:H50" si="12">IF(ISBLANK(G33),"",D33-D33/G33*10)</f>
        <v>0</v>
      </c>
    </row>
    <row r="34" spans="2:10" x14ac:dyDescent="0.25">
      <c r="B34" s="60" t="s">
        <v>62</v>
      </c>
      <c r="C34" s="33" t="s">
        <v>63</v>
      </c>
      <c r="D34" s="34">
        <v>20000</v>
      </c>
      <c r="E34" s="188"/>
      <c r="F34" s="175"/>
      <c r="G34" s="47">
        <v>10</v>
      </c>
      <c r="H34" s="35">
        <f t="shared" si="12"/>
        <v>0</v>
      </c>
    </row>
    <row r="35" spans="2:10" x14ac:dyDescent="0.25">
      <c r="B35" s="60" t="s">
        <v>64</v>
      </c>
      <c r="C35" s="33" t="s">
        <v>142</v>
      </c>
      <c r="D35" s="34">
        <v>21000</v>
      </c>
      <c r="E35" s="188" t="s">
        <v>23</v>
      </c>
      <c r="F35" s="175"/>
      <c r="G35" s="47">
        <v>10</v>
      </c>
      <c r="H35" s="35">
        <f t="shared" si="12"/>
        <v>0</v>
      </c>
    </row>
    <row r="36" spans="2:10" ht="14.25" customHeight="1" x14ac:dyDescent="0.25">
      <c r="B36" s="60" t="s">
        <v>65</v>
      </c>
      <c r="C36" s="33" t="s">
        <v>66</v>
      </c>
      <c r="D36" s="34">
        <v>35000</v>
      </c>
      <c r="E36" s="188" t="s">
        <v>23</v>
      </c>
      <c r="F36" s="175"/>
      <c r="G36" s="47">
        <v>10</v>
      </c>
      <c r="H36" s="35">
        <f t="shared" si="12"/>
        <v>0</v>
      </c>
    </row>
    <row r="37" spans="2:10" x14ac:dyDescent="0.25">
      <c r="B37" s="60" t="s">
        <v>153</v>
      </c>
      <c r="C37" s="33" t="s">
        <v>154</v>
      </c>
      <c r="D37" s="34">
        <v>55000</v>
      </c>
      <c r="E37" s="188"/>
      <c r="F37" s="175"/>
      <c r="G37" s="47">
        <v>10</v>
      </c>
      <c r="H37" s="35">
        <f t="shared" si="12"/>
        <v>0</v>
      </c>
    </row>
    <row r="38" spans="2:10" x14ac:dyDescent="0.25">
      <c r="B38" s="60" t="s">
        <v>68</v>
      </c>
      <c r="C38" s="33" t="s">
        <v>155</v>
      </c>
      <c r="D38" s="34">
        <v>50000</v>
      </c>
      <c r="E38" s="188"/>
      <c r="F38" s="175"/>
      <c r="G38" s="47">
        <v>10</v>
      </c>
      <c r="H38" s="35">
        <f t="shared" si="12"/>
        <v>0</v>
      </c>
    </row>
    <row r="39" spans="2:10" x14ac:dyDescent="0.25">
      <c r="B39" s="60" t="s">
        <v>70</v>
      </c>
      <c r="C39" s="33" t="s">
        <v>67</v>
      </c>
      <c r="D39" s="34">
        <v>25000</v>
      </c>
      <c r="E39" s="188" t="s">
        <v>23</v>
      </c>
      <c r="F39" s="175"/>
      <c r="G39" s="47">
        <v>10</v>
      </c>
      <c r="H39" s="35">
        <f t="shared" si="12"/>
        <v>0</v>
      </c>
    </row>
    <row r="40" spans="2:10" x14ac:dyDescent="0.25">
      <c r="B40" s="60" t="s">
        <v>72</v>
      </c>
      <c r="C40" s="33" t="s">
        <v>69</v>
      </c>
      <c r="D40" s="34">
        <v>15000</v>
      </c>
      <c r="E40" s="188" t="s">
        <v>23</v>
      </c>
      <c r="F40" s="175"/>
      <c r="G40" s="47">
        <v>10</v>
      </c>
      <c r="H40" s="35">
        <f t="shared" si="12"/>
        <v>0</v>
      </c>
    </row>
    <row r="41" spans="2:10" x14ac:dyDescent="0.25">
      <c r="B41" s="60" t="s">
        <v>156</v>
      </c>
      <c r="C41" s="33" t="s">
        <v>71</v>
      </c>
      <c r="D41" s="34">
        <v>30000</v>
      </c>
      <c r="E41" s="188" t="s">
        <v>23</v>
      </c>
      <c r="F41" s="175"/>
      <c r="G41" s="47">
        <v>10</v>
      </c>
      <c r="H41" s="35">
        <f t="shared" si="12"/>
        <v>0</v>
      </c>
    </row>
    <row r="42" spans="2:10" ht="14.25" customHeight="1" x14ac:dyDescent="0.25">
      <c r="B42" s="60" t="s">
        <v>74</v>
      </c>
      <c r="C42" s="33" t="s">
        <v>75</v>
      </c>
      <c r="D42" s="34">
        <v>3000</v>
      </c>
      <c r="E42" s="188" t="s">
        <v>23</v>
      </c>
      <c r="F42" s="175"/>
      <c r="G42" s="47">
        <v>10</v>
      </c>
      <c r="H42" s="35">
        <f t="shared" si="12"/>
        <v>0</v>
      </c>
    </row>
    <row r="43" spans="2:10" ht="14.25" customHeight="1" x14ac:dyDescent="0.25">
      <c r="B43" s="60" t="s">
        <v>76</v>
      </c>
      <c r="C43" s="33" t="s">
        <v>73</v>
      </c>
      <c r="D43" s="34">
        <v>5000</v>
      </c>
      <c r="E43" s="188" t="s">
        <v>23</v>
      </c>
      <c r="F43" s="175"/>
      <c r="G43" s="47">
        <v>10</v>
      </c>
      <c r="H43" s="35">
        <f t="shared" si="12"/>
        <v>0</v>
      </c>
    </row>
    <row r="44" spans="2:10" ht="14.25" customHeight="1" x14ac:dyDescent="0.25">
      <c r="B44" s="60" t="s">
        <v>77</v>
      </c>
      <c r="C44" s="33" t="s">
        <v>157</v>
      </c>
      <c r="D44" s="34">
        <v>12000</v>
      </c>
      <c r="E44" s="188"/>
      <c r="F44" s="175"/>
      <c r="G44" s="47">
        <v>15</v>
      </c>
      <c r="H44" s="35">
        <f t="shared" si="12"/>
        <v>4000</v>
      </c>
      <c r="J44" s="226"/>
    </row>
    <row r="45" spans="2:10" ht="14.25" customHeight="1" x14ac:dyDescent="0.25">
      <c r="B45" s="60" t="s">
        <v>78</v>
      </c>
      <c r="C45" s="33" t="s">
        <v>79</v>
      </c>
      <c r="D45" s="34">
        <v>45000</v>
      </c>
      <c r="E45" s="188"/>
      <c r="F45" s="175"/>
      <c r="G45" s="47">
        <v>15</v>
      </c>
      <c r="H45" s="35">
        <f t="shared" si="12"/>
        <v>15000</v>
      </c>
      <c r="J45" s="226"/>
    </row>
    <row r="46" spans="2:10" x14ac:dyDescent="0.25">
      <c r="B46" s="60" t="s">
        <v>80</v>
      </c>
      <c r="C46" s="33" t="s">
        <v>158</v>
      </c>
      <c r="D46" s="34">
        <v>20000</v>
      </c>
      <c r="E46" s="188"/>
      <c r="F46" s="175"/>
      <c r="G46" s="47">
        <v>15</v>
      </c>
      <c r="H46" s="35">
        <f t="shared" si="12"/>
        <v>6666.6666666666679</v>
      </c>
      <c r="J46" s="193"/>
    </row>
    <row r="47" spans="2:10" x14ac:dyDescent="0.25">
      <c r="B47" s="60" t="s">
        <v>81</v>
      </c>
      <c r="C47" s="33" t="s">
        <v>159</v>
      </c>
      <c r="D47" s="34">
        <v>10000</v>
      </c>
      <c r="E47" s="188"/>
      <c r="F47" s="175"/>
      <c r="G47" s="47">
        <v>10</v>
      </c>
      <c r="H47" s="35">
        <f t="shared" si="12"/>
        <v>0</v>
      </c>
    </row>
    <row r="48" spans="2:10" x14ac:dyDescent="0.25">
      <c r="B48" s="32" t="s">
        <v>82</v>
      </c>
      <c r="C48" s="33" t="s">
        <v>160</v>
      </c>
      <c r="D48" s="34">
        <v>50000</v>
      </c>
      <c r="E48" s="174"/>
      <c r="F48" s="175"/>
      <c r="G48" s="47">
        <v>10</v>
      </c>
      <c r="H48" s="35">
        <f t="shared" si="12"/>
        <v>0</v>
      </c>
    </row>
    <row r="49" spans="2:14" x14ac:dyDescent="0.25">
      <c r="B49" s="32" t="s">
        <v>83</v>
      </c>
      <c r="C49" s="33" t="s">
        <v>143</v>
      </c>
      <c r="D49" s="34">
        <v>4455</v>
      </c>
      <c r="E49" s="174"/>
      <c r="F49" s="175"/>
      <c r="G49" s="47">
        <v>10</v>
      </c>
      <c r="H49" s="35">
        <f t="shared" si="12"/>
        <v>0</v>
      </c>
    </row>
    <row r="50" spans="2:14" x14ac:dyDescent="0.25">
      <c r="B50" s="32" t="s">
        <v>167</v>
      </c>
      <c r="C50" s="33" t="s">
        <v>168</v>
      </c>
      <c r="D50" s="34">
        <v>3750</v>
      </c>
      <c r="E50" s="174" t="s">
        <v>23</v>
      </c>
      <c r="F50" s="175"/>
      <c r="G50" s="47">
        <v>10</v>
      </c>
      <c r="H50" s="35">
        <f t="shared" si="12"/>
        <v>0</v>
      </c>
    </row>
    <row r="51" spans="2:14" x14ac:dyDescent="0.25">
      <c r="B51" s="255" t="s">
        <v>84</v>
      </c>
      <c r="C51" s="256"/>
      <c r="D51" s="14">
        <f>SUM(D52)</f>
        <v>18739.599999999999</v>
      </c>
      <c r="E51" s="194">
        <f t="shared" ref="E51:H51" si="13">SUM(E52)</f>
        <v>0</v>
      </c>
      <c r="F51" s="192"/>
      <c r="G51" s="167">
        <f t="shared" si="13"/>
        <v>0</v>
      </c>
      <c r="H51" s="167">
        <f t="shared" si="13"/>
        <v>0</v>
      </c>
    </row>
    <row r="52" spans="2:14" x14ac:dyDescent="0.25">
      <c r="B52" s="22">
        <v>7</v>
      </c>
      <c r="C52" s="23" t="s">
        <v>85</v>
      </c>
      <c r="D52" s="24">
        <f>SUM(D53:D55)</f>
        <v>18739.599999999999</v>
      </c>
      <c r="E52" s="195"/>
      <c r="F52" s="190"/>
      <c r="G52" s="172"/>
      <c r="H52" s="172"/>
    </row>
    <row r="53" spans="2:14" x14ac:dyDescent="0.25">
      <c r="B53" s="32" t="s">
        <v>86</v>
      </c>
      <c r="C53" s="33" t="s">
        <v>87</v>
      </c>
      <c r="D53" s="34">
        <v>18739.599999999999</v>
      </c>
      <c r="E53" s="196"/>
      <c r="F53" s="189"/>
      <c r="G53" s="47">
        <v>10</v>
      </c>
      <c r="H53" s="35">
        <f t="shared" ref="H53:H56" si="14">IF(ISBLANK(G53),"",D53-D53/G53*10)</f>
        <v>0</v>
      </c>
    </row>
    <row r="54" spans="2:14" x14ac:dyDescent="0.25">
      <c r="B54" s="32" t="s">
        <v>88</v>
      </c>
      <c r="C54" s="33" t="s">
        <v>89</v>
      </c>
      <c r="D54" s="34" t="s">
        <v>23</v>
      </c>
      <c r="E54" s="196"/>
      <c r="F54" s="189"/>
      <c r="G54" s="176"/>
      <c r="H54" s="35" t="str">
        <f t="shared" si="14"/>
        <v/>
      </c>
      <c r="K54" s="94"/>
      <c r="L54" s="94"/>
      <c r="M54" s="94"/>
      <c r="N54" s="94"/>
    </row>
    <row r="55" spans="2:14" x14ac:dyDescent="0.25">
      <c r="B55" s="32" t="s">
        <v>90</v>
      </c>
      <c r="C55" s="33" t="s">
        <v>91</v>
      </c>
      <c r="D55" s="34" t="s">
        <v>23</v>
      </c>
      <c r="E55" s="196"/>
      <c r="F55" s="189"/>
      <c r="G55" s="176"/>
      <c r="H55" s="35" t="str">
        <f t="shared" si="14"/>
        <v/>
      </c>
      <c r="K55" s="94"/>
      <c r="L55" s="94"/>
      <c r="M55" s="94"/>
      <c r="N55" s="94"/>
    </row>
    <row r="56" spans="2:14" x14ac:dyDescent="0.25">
      <c r="B56" s="32" t="s">
        <v>53</v>
      </c>
      <c r="C56" s="33"/>
      <c r="D56" s="34" t="s">
        <v>23</v>
      </c>
      <c r="E56" s="196"/>
      <c r="F56" s="189"/>
      <c r="G56" s="176"/>
      <c r="H56" s="35" t="str">
        <f t="shared" si="14"/>
        <v/>
      </c>
      <c r="K56" s="94"/>
      <c r="L56" s="94"/>
      <c r="M56" s="94"/>
      <c r="N56" s="94"/>
    </row>
    <row r="57" spans="2:14" ht="15" customHeight="1" x14ac:dyDescent="0.25">
      <c r="B57" s="255" t="s">
        <v>92</v>
      </c>
      <c r="C57" s="256"/>
      <c r="D57" s="14">
        <f>SUM(D58)</f>
        <v>982</v>
      </c>
      <c r="E57" s="194">
        <f t="shared" ref="E57:H57" si="15">SUM(E58)</f>
        <v>0</v>
      </c>
      <c r="F57" s="192"/>
      <c r="G57" s="167"/>
      <c r="H57" s="167">
        <f t="shared" si="15"/>
        <v>0</v>
      </c>
      <c r="J57" s="58"/>
      <c r="K57" s="240"/>
      <c r="L57" s="95"/>
      <c r="M57" s="94"/>
      <c r="N57" s="94"/>
    </row>
    <row r="58" spans="2:14" ht="15.75" thickBot="1" x14ac:dyDescent="0.3">
      <c r="B58" s="61">
        <v>8</v>
      </c>
      <c r="C58" s="62" t="s">
        <v>93</v>
      </c>
      <c r="D58" s="63">
        <v>982</v>
      </c>
      <c r="E58" s="197"/>
      <c r="F58" s="198"/>
      <c r="G58" s="47">
        <v>10</v>
      </c>
      <c r="H58" s="35">
        <f>IF(ISBLANK(G58),"",D58-D58/G58*10)</f>
        <v>0</v>
      </c>
      <c r="I58" s="58"/>
      <c r="K58" s="94"/>
      <c r="L58" s="94"/>
      <c r="M58" s="94"/>
      <c r="N58" s="94"/>
    </row>
    <row r="59" spans="2:14" ht="15.75" thickBot="1" x14ac:dyDescent="0.3">
      <c r="B59" s="249" t="s">
        <v>94</v>
      </c>
      <c r="C59" s="250"/>
      <c r="D59" s="64">
        <f>SUM(D9+D27+D51+D57)-D51</f>
        <v>428512</v>
      </c>
      <c r="E59" s="65">
        <f>SUMIF(E9:E58,"x",D9:D58)</f>
        <v>137750</v>
      </c>
      <c r="F59" s="66">
        <f>SUMIF(F9:F58,"x",D9:D58)</f>
        <v>0</v>
      </c>
      <c r="G59" s="66"/>
      <c r="H59" s="66">
        <f>SUM(H9+H27+H51+H57)</f>
        <v>25666.666666666668</v>
      </c>
      <c r="K59" s="240"/>
      <c r="L59" s="241"/>
      <c r="M59" s="95"/>
      <c r="N59" s="94"/>
    </row>
    <row r="60" spans="2:14" x14ac:dyDescent="0.25">
      <c r="B60" s="251" t="s">
        <v>95</v>
      </c>
      <c r="C60" s="252"/>
      <c r="D60" s="67">
        <f>SUM(D61)</f>
        <v>9995.48</v>
      </c>
      <c r="E60" s="68"/>
      <c r="F60" s="69"/>
      <c r="G60" s="70"/>
      <c r="H60" s="70"/>
      <c r="K60" s="94"/>
      <c r="L60" s="95"/>
      <c r="M60" s="94"/>
      <c r="N60" s="94"/>
    </row>
    <row r="61" spans="2:14" x14ac:dyDescent="0.25">
      <c r="B61" s="72">
        <v>9</v>
      </c>
      <c r="C61" s="73" t="s">
        <v>96</v>
      </c>
      <c r="D61" s="74">
        <v>9995.48</v>
      </c>
      <c r="E61" s="75"/>
      <c r="F61" s="76"/>
      <c r="G61" s="199"/>
      <c r="H61" s="76"/>
      <c r="K61" s="94"/>
      <c r="L61" s="95"/>
      <c r="M61" s="94"/>
      <c r="N61" s="94"/>
    </row>
    <row r="62" spans="2:14" x14ac:dyDescent="0.25">
      <c r="B62" s="255" t="s">
        <v>97</v>
      </c>
      <c r="C62" s="256"/>
      <c r="D62" s="77">
        <f>SUM(D63)</f>
        <v>10712.800000000001</v>
      </c>
      <c r="E62" s="78"/>
      <c r="F62" s="79"/>
      <c r="G62" s="79"/>
      <c r="H62" s="79"/>
      <c r="K62" s="94"/>
      <c r="L62" s="95"/>
      <c r="M62" s="94"/>
      <c r="N62" s="94"/>
    </row>
    <row r="63" spans="2:14" ht="15.75" thickBot="1" x14ac:dyDescent="0.3">
      <c r="B63" s="80">
        <v>10</v>
      </c>
      <c r="C63" s="81">
        <v>2.5000000000000001E-2</v>
      </c>
      <c r="D63" s="82">
        <f>D59*C63</f>
        <v>10712.800000000001</v>
      </c>
      <c r="E63" s="75"/>
      <c r="F63" s="76"/>
      <c r="G63" s="199"/>
      <c r="H63" s="76"/>
      <c r="K63" s="240"/>
      <c r="L63" s="95"/>
      <c r="M63" s="94"/>
      <c r="N63" s="94"/>
    </row>
    <row r="64" spans="2:14" ht="15.75" thickBot="1" x14ac:dyDescent="0.3">
      <c r="B64" s="249" t="s">
        <v>98</v>
      </c>
      <c r="C64" s="250"/>
      <c r="D64" s="83">
        <f>SUM(D59++D60+D62)</f>
        <v>449220.27999999997</v>
      </c>
      <c r="E64" s="78"/>
      <c r="F64" s="79"/>
      <c r="G64" s="248"/>
      <c r="H64" s="79"/>
      <c r="K64" s="242"/>
      <c r="L64" s="95"/>
      <c r="M64" s="95"/>
      <c r="N64" s="94"/>
    </row>
    <row r="65" spans="2:14" x14ac:dyDescent="0.25">
      <c r="B65" s="251" t="s">
        <v>99</v>
      </c>
      <c r="C65" s="252"/>
      <c r="D65" s="67">
        <f>SUM(D66)</f>
        <v>0</v>
      </c>
      <c r="E65" s="78"/>
      <c r="F65" s="79"/>
      <c r="G65" s="79"/>
      <c r="H65" s="79"/>
      <c r="K65" s="94"/>
      <c r="L65" s="95"/>
      <c r="M65" s="95"/>
      <c r="N65" s="94"/>
    </row>
    <row r="66" spans="2:14" ht="15.75" thickBot="1" x14ac:dyDescent="0.3">
      <c r="B66" s="61">
        <v>11</v>
      </c>
      <c r="C66" s="84" t="s">
        <v>100</v>
      </c>
      <c r="D66" s="85">
        <v>0</v>
      </c>
      <c r="E66" s="75"/>
      <c r="F66" s="86"/>
      <c r="G66" s="199"/>
      <c r="H66" s="86"/>
      <c r="K66" s="240"/>
      <c r="L66" s="95"/>
      <c r="M66" s="95"/>
      <c r="N66" s="95"/>
    </row>
    <row r="67" spans="2:14" ht="15.75" thickBot="1" x14ac:dyDescent="0.3">
      <c r="B67" s="249" t="s">
        <v>101</v>
      </c>
      <c r="C67" s="250"/>
      <c r="D67" s="83">
        <f>D64-D65</f>
        <v>449220.27999999997</v>
      </c>
      <c r="E67" s="78"/>
      <c r="F67" s="79"/>
      <c r="G67" s="79"/>
      <c r="H67" s="79"/>
      <c r="K67" s="240"/>
      <c r="L67" s="241"/>
      <c r="M67" s="94"/>
      <c r="N67" s="94"/>
    </row>
    <row r="68" spans="2:14" x14ac:dyDescent="0.25">
      <c r="B68" s="251" t="s">
        <v>102</v>
      </c>
      <c r="C68" s="252"/>
      <c r="D68" s="67">
        <f>SUM(D69)</f>
        <v>89844.055999999997</v>
      </c>
      <c r="E68" s="78"/>
      <c r="F68" s="79"/>
      <c r="G68" s="79"/>
      <c r="H68" s="79"/>
      <c r="K68" s="240"/>
      <c r="L68" s="95"/>
      <c r="M68" s="94"/>
      <c r="N68" s="94"/>
    </row>
    <row r="69" spans="2:14" x14ac:dyDescent="0.25">
      <c r="B69" s="72">
        <v>12</v>
      </c>
      <c r="C69" s="87">
        <v>0.2</v>
      </c>
      <c r="D69" s="74">
        <f>D64*C69</f>
        <v>89844.055999999997</v>
      </c>
      <c r="E69" s="75"/>
      <c r="F69" s="88"/>
      <c r="G69" s="199"/>
      <c r="H69" s="88"/>
      <c r="K69" s="94"/>
      <c r="L69" s="94"/>
      <c r="M69" s="94"/>
      <c r="N69" s="94"/>
    </row>
    <row r="70" spans="2:14" ht="15.75" thickBot="1" x14ac:dyDescent="0.3">
      <c r="B70" s="253" t="s">
        <v>103</v>
      </c>
      <c r="C70" s="254"/>
      <c r="D70" s="89">
        <f>SUM(D67+D68)</f>
        <v>539064.33600000001</v>
      </c>
      <c r="E70" s="78"/>
      <c r="F70" s="79"/>
      <c r="G70" s="79"/>
      <c r="H70" s="79"/>
      <c r="K70" s="94"/>
      <c r="L70" s="94"/>
      <c r="M70" s="94"/>
      <c r="N70" s="94"/>
    </row>
    <row r="71" spans="2:14" x14ac:dyDescent="0.25">
      <c r="B71" s="90"/>
      <c r="D71" s="58"/>
      <c r="K71" s="94"/>
      <c r="L71" s="94"/>
      <c r="M71" s="94"/>
      <c r="N71" s="94"/>
    </row>
    <row r="72" spans="2:14" x14ac:dyDescent="0.25">
      <c r="B72" s="90"/>
      <c r="D72" s="91"/>
      <c r="F72" s="58"/>
      <c r="K72" s="94"/>
      <c r="L72" s="94"/>
      <c r="M72" s="94"/>
      <c r="N72" s="94"/>
    </row>
    <row r="73" spans="2:14" x14ac:dyDescent="0.25">
      <c r="B73" s="90"/>
      <c r="D73" s="91"/>
      <c r="E73" s="58"/>
      <c r="F73" s="58"/>
      <c r="K73" s="94"/>
      <c r="L73" s="94"/>
      <c r="M73" s="94"/>
      <c r="N73" s="94"/>
    </row>
    <row r="74" spans="2:14" x14ac:dyDescent="0.25">
      <c r="B74" s="90"/>
      <c r="D74" s="91"/>
      <c r="F74" s="58"/>
      <c r="K74" s="94"/>
      <c r="L74" s="94"/>
      <c r="M74" s="94"/>
      <c r="N74" s="94"/>
    </row>
    <row r="75" spans="2:14" x14ac:dyDescent="0.25">
      <c r="B75" s="90"/>
      <c r="D75" s="91"/>
      <c r="K75" s="94"/>
      <c r="L75" s="94"/>
      <c r="M75" s="94"/>
      <c r="N75" s="94"/>
    </row>
    <row r="76" spans="2:14" x14ac:dyDescent="0.25">
      <c r="B76" s="90"/>
      <c r="C76" s="71"/>
      <c r="D76" s="58"/>
      <c r="K76" s="94"/>
      <c r="L76" s="94"/>
      <c r="M76" s="94"/>
      <c r="N76" s="94"/>
    </row>
    <row r="77" spans="2:14" x14ac:dyDescent="0.25">
      <c r="B77" s="90"/>
      <c r="D77" s="58"/>
      <c r="K77" s="94"/>
      <c r="L77" s="94"/>
      <c r="M77" s="94"/>
      <c r="N77" s="94"/>
    </row>
    <row r="78" spans="2:14" x14ac:dyDescent="0.25">
      <c r="K78" s="94"/>
      <c r="L78" s="94"/>
      <c r="M78" s="94"/>
      <c r="N78" s="94"/>
    </row>
    <row r="79" spans="2:14" x14ac:dyDescent="0.25">
      <c r="C79" s="92"/>
      <c r="D79" s="93"/>
      <c r="K79" s="94"/>
      <c r="L79" s="94"/>
      <c r="M79" s="94"/>
      <c r="N79" s="94"/>
    </row>
    <row r="80" spans="2:14" x14ac:dyDescent="0.25">
      <c r="F80" s="58"/>
      <c r="K80" s="94"/>
      <c r="L80" s="94"/>
      <c r="M80" s="94"/>
      <c r="N80" s="94"/>
    </row>
  </sheetData>
  <mergeCells count="17">
    <mergeCell ref="K8:K9"/>
    <mergeCell ref="B9:C9"/>
    <mergeCell ref="B62:C62"/>
    <mergeCell ref="B4:D4"/>
    <mergeCell ref="E6:H6"/>
    <mergeCell ref="E7:F7"/>
    <mergeCell ref="G7:H7"/>
    <mergeCell ref="B27:C27"/>
    <mergeCell ref="B51:C51"/>
    <mergeCell ref="B57:C57"/>
    <mergeCell ref="B59:C59"/>
    <mergeCell ref="B60:C60"/>
    <mergeCell ref="B64:C64"/>
    <mergeCell ref="B65:C65"/>
    <mergeCell ref="B67:C67"/>
    <mergeCell ref="B68:C68"/>
    <mergeCell ref="B70:C70"/>
  </mergeCells>
  <conditionalFormatting sqref="X9:AD17">
    <cfRule type="expression" dxfId="20" priority="1">
      <formula>AND($AO9&lt;&gt;"",$AX9="")</formula>
    </cfRule>
    <cfRule type="expression" dxfId="19" priority="2">
      <formula>$AO9&lt;&gt;""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85717-C3E5-4798-88BA-1053B04BF02F}">
  <sheetPr codeName="Sheet6"/>
  <dimension ref="B1:AO66"/>
  <sheetViews>
    <sheetView tabSelected="1" topLeftCell="R1" zoomScale="80" zoomScaleNormal="80" workbookViewId="0">
      <selection activeCell="AC14" sqref="AC14"/>
    </sheetView>
  </sheetViews>
  <sheetFormatPr defaultColWidth="9.140625" defaultRowHeight="15" outlineLevelCol="1" x14ac:dyDescent="0.25"/>
  <cols>
    <col min="1" max="1" width="3" style="96" customWidth="1"/>
    <col min="2" max="2" width="49.28515625" style="99" customWidth="1"/>
    <col min="3" max="3" width="17" style="96" bestFit="1" customWidth="1"/>
    <col min="4" max="4" width="15" style="96" customWidth="1"/>
    <col min="5" max="5" width="15.28515625" style="96" customWidth="1"/>
    <col min="6" max="6" width="12" style="96" bestFit="1" customWidth="1"/>
    <col min="7" max="7" width="12.85546875" style="96" customWidth="1"/>
    <col min="8" max="8" width="2.85546875" style="96" customWidth="1"/>
    <col min="9" max="18" width="13.5703125" style="96" customWidth="1" outlineLevel="1"/>
    <col min="19" max="19" width="2.85546875" style="96" customWidth="1" outlineLevel="1"/>
    <col min="20" max="23" width="12.42578125" style="96" customWidth="1" outlineLevel="1"/>
    <col min="24" max="24" width="2.85546875" style="96" customWidth="1" outlineLevel="1"/>
    <col min="25" max="28" width="11" style="96" customWidth="1"/>
    <col min="29" max="29" width="9.140625" style="96"/>
    <col min="30" max="30" width="46.85546875" style="96" hidden="1" customWidth="1" outlineLevel="1"/>
    <col min="31" max="31" width="18.5703125" style="96" hidden="1" customWidth="1" outlineLevel="1"/>
    <col min="32" max="32" width="26.5703125" style="96" hidden="1" customWidth="1" outlineLevel="1"/>
    <col min="33" max="33" width="24.7109375" style="96" hidden="1" customWidth="1" outlineLevel="1"/>
    <col min="34" max="34" width="23" style="96" hidden="1" customWidth="1" outlineLevel="1"/>
    <col min="35" max="36" width="9.140625" style="96" hidden="1" customWidth="1" outlineLevel="1"/>
    <col min="37" max="37" width="10.5703125" style="96" hidden="1" customWidth="1" outlineLevel="1"/>
    <col min="38" max="38" width="11" style="96" hidden="1" customWidth="1" outlineLevel="1"/>
    <col min="39" max="39" width="9.140625" style="96" hidden="1" customWidth="1" outlineLevel="1"/>
    <col min="40" max="40" width="14.85546875" style="96" bestFit="1" customWidth="1" collapsed="1"/>
    <col min="41" max="16384" width="9.140625" style="96"/>
  </cols>
  <sheetData>
    <row r="1" spans="2:40" x14ac:dyDescent="0.25">
      <c r="B1" s="1"/>
      <c r="G1" s="97" t="s">
        <v>104</v>
      </c>
      <c r="H1" s="97"/>
      <c r="AN1" s="98" t="s">
        <v>1</v>
      </c>
    </row>
    <row r="2" spans="2:40" x14ac:dyDescent="0.25">
      <c r="G2" s="100" t="s">
        <v>2</v>
      </c>
      <c r="H2" s="100"/>
      <c r="L2" s="227"/>
      <c r="M2" s="227"/>
    </row>
    <row r="3" spans="2:40" x14ac:dyDescent="0.25">
      <c r="F3" s="101"/>
    </row>
    <row r="4" spans="2:40" ht="15.75" x14ac:dyDescent="0.25">
      <c r="B4" s="263" t="s">
        <v>169</v>
      </c>
      <c r="C4" s="263"/>
      <c r="D4" s="263"/>
      <c r="E4" s="263"/>
      <c r="F4" s="263"/>
      <c r="G4" s="263"/>
      <c r="H4" s="247"/>
      <c r="I4" s="264" t="s">
        <v>105</v>
      </c>
      <c r="J4" s="264"/>
      <c r="K4" s="264"/>
      <c r="L4" s="264"/>
      <c r="M4" s="264"/>
      <c r="N4" s="264"/>
      <c r="O4" s="264"/>
      <c r="P4" s="264"/>
      <c r="Q4" s="264"/>
      <c r="R4" s="264"/>
      <c r="T4" s="264" t="s">
        <v>106</v>
      </c>
      <c r="U4" s="264"/>
      <c r="V4" s="264"/>
      <c r="W4" s="264"/>
      <c r="X4" s="200"/>
      <c r="Y4" s="265" t="s">
        <v>107</v>
      </c>
      <c r="Z4" s="265"/>
      <c r="AA4" s="265"/>
      <c r="AB4" s="265"/>
    </row>
    <row r="5" spans="2:40" ht="15.75" thickBot="1" x14ac:dyDescent="0.3">
      <c r="E5" s="101"/>
    </row>
    <row r="6" spans="2:40" ht="45.75" thickBot="1" x14ac:dyDescent="0.3">
      <c r="B6" s="102" t="s">
        <v>108</v>
      </c>
      <c r="C6" s="103" t="s">
        <v>109</v>
      </c>
      <c r="D6" s="104" t="s">
        <v>110</v>
      </c>
      <c r="E6" s="105" t="s">
        <v>4</v>
      </c>
      <c r="F6" s="106" t="s">
        <v>87</v>
      </c>
      <c r="G6" s="107" t="s">
        <v>89</v>
      </c>
      <c r="H6" s="108"/>
      <c r="I6" s="109" t="s">
        <v>170</v>
      </c>
      <c r="J6" s="201" t="s">
        <v>111</v>
      </c>
      <c r="K6" s="112" t="s">
        <v>171</v>
      </c>
      <c r="L6" s="201" t="s">
        <v>145</v>
      </c>
      <c r="M6" s="112" t="s">
        <v>172</v>
      </c>
      <c r="N6" s="110" t="s">
        <v>147</v>
      </c>
      <c r="O6" s="112" t="s">
        <v>173</v>
      </c>
      <c r="P6" s="110" t="s">
        <v>149</v>
      </c>
      <c r="Q6" s="112" t="s">
        <v>174</v>
      </c>
      <c r="R6" s="113" t="s">
        <v>112</v>
      </c>
      <c r="T6" s="228" t="s">
        <v>113</v>
      </c>
      <c r="U6" s="111" t="s">
        <v>161</v>
      </c>
      <c r="V6" s="229" t="s">
        <v>162</v>
      </c>
      <c r="W6" s="230" t="s">
        <v>163</v>
      </c>
      <c r="Y6" s="114" t="s">
        <v>113</v>
      </c>
      <c r="Z6" s="111" t="s">
        <v>161</v>
      </c>
      <c r="AA6" s="111" t="s">
        <v>162</v>
      </c>
      <c r="AB6" s="115" t="s">
        <v>163</v>
      </c>
      <c r="AD6" s="163" t="s">
        <v>11</v>
      </c>
      <c r="AE6" s="164" t="s">
        <v>12</v>
      </c>
      <c r="AF6" s="164" t="s">
        <v>13</v>
      </c>
      <c r="AG6" s="164" t="s">
        <v>14</v>
      </c>
      <c r="AH6" s="164" t="s">
        <v>15</v>
      </c>
      <c r="AI6" s="164" t="s">
        <v>16</v>
      </c>
      <c r="AJ6" s="164" t="s">
        <v>17</v>
      </c>
      <c r="AK6" s="231" t="s">
        <v>175</v>
      </c>
      <c r="AL6" s="277" t="s">
        <v>177</v>
      </c>
    </row>
    <row r="7" spans="2:40" x14ac:dyDescent="0.25">
      <c r="B7" s="116" t="s">
        <v>114</v>
      </c>
      <c r="C7" s="117">
        <f>SUM(I7,K7,M7,O7,Q7)</f>
        <v>9</v>
      </c>
      <c r="D7" s="120">
        <v>287</v>
      </c>
      <c r="E7" s="202">
        <f>SUM(C7*D7)</f>
        <v>2583</v>
      </c>
      <c r="F7" s="118" t="s">
        <v>23</v>
      </c>
      <c r="G7" s="119"/>
      <c r="I7" s="203"/>
      <c r="J7" s="120" t="str">
        <f>IF(ISBLANK(I7),"",SUM(I7*$D7))</f>
        <v/>
      </c>
      <c r="K7" s="204"/>
      <c r="L7" s="120" t="str">
        <f>IF(ISBLANK(K7),"",SUM(K7*$D7))</f>
        <v/>
      </c>
      <c r="M7" s="204">
        <v>8</v>
      </c>
      <c r="N7" s="120">
        <f t="shared" ref="N7:N29" si="0">IF(ISBLANK(M7),"",SUM(M7*$D7))</f>
        <v>2296</v>
      </c>
      <c r="O7" s="204">
        <v>1</v>
      </c>
      <c r="P7" s="120">
        <f>IF(ISBLANK(O7),"",SUM(O7*$D7))</f>
        <v>287</v>
      </c>
      <c r="Q7" s="205"/>
      <c r="R7" s="121" t="str">
        <f>IF(ISBLANK(Q7),"",SUM(Q7*$D7))</f>
        <v/>
      </c>
      <c r="S7" s="122"/>
      <c r="T7" s="232"/>
      <c r="U7" s="233"/>
      <c r="V7" s="233" t="str">
        <f>IFERROR(IF(ISBLANK($R7),"",$R7*$AL$9),"")</f>
        <v/>
      </c>
      <c r="W7" s="234" t="str">
        <f t="shared" ref="W7:W29" si="1">IFERROR(IF(ISBLANK($R7),"",$R7*$AL$10),"")</f>
        <v/>
      </c>
      <c r="X7" s="96" t="str">
        <f>IF(SUM(R7)=SUM(T7:W7),"","K")</f>
        <v/>
      </c>
      <c r="Y7" s="206" t="str">
        <f>IF(SUM(J7,T7)=0,"",SUM(J7,T7))</f>
        <v/>
      </c>
      <c r="Z7" s="120" t="str">
        <f>IF(SUM(L7,U7)=0,"",SUM(L7,U7))</f>
        <v/>
      </c>
      <c r="AA7" s="120">
        <f>IF(SUM(N7,V7)=0,"",SUM(N7,V7))</f>
        <v>2296</v>
      </c>
      <c r="AB7" s="207">
        <f>IF(SUM(P7,W7)=0,"",SUM(P7,W7))</f>
        <v>287</v>
      </c>
      <c r="AD7" s="169" t="s">
        <v>19</v>
      </c>
      <c r="AE7" s="20">
        <v>131.30000000000001</v>
      </c>
      <c r="AF7" s="20">
        <v>0</v>
      </c>
      <c r="AG7" s="20">
        <v>0</v>
      </c>
      <c r="AH7" s="20">
        <v>0</v>
      </c>
      <c r="AI7" s="20">
        <v>131.30000000000001</v>
      </c>
      <c r="AJ7" s="21">
        <v>0.16915743365112085</v>
      </c>
      <c r="AK7" s="276">
        <v>0</v>
      </c>
      <c r="AL7" s="208">
        <v>0</v>
      </c>
    </row>
    <row r="8" spans="2:40" x14ac:dyDescent="0.25">
      <c r="B8" s="123" t="s">
        <v>115</v>
      </c>
      <c r="C8" s="117">
        <f t="shared" ref="C8:C29" si="2">SUM(I8,K8,M8,O8,Q8)</f>
        <v>10</v>
      </c>
      <c r="D8" s="120">
        <v>156</v>
      </c>
      <c r="E8" s="202">
        <f t="shared" ref="E8:E29" si="3">SUM(C8*D8)</f>
        <v>1560</v>
      </c>
      <c r="F8" s="118" t="s">
        <v>23</v>
      </c>
      <c r="G8" s="124"/>
      <c r="I8" s="209"/>
      <c r="J8" s="120" t="str">
        <f t="shared" ref="J8:J29" si="4">IF(ISBLANK(I8),"",SUM(I8*$D8))</f>
        <v/>
      </c>
      <c r="K8" s="125"/>
      <c r="L8" s="120" t="str">
        <f t="shared" ref="L8:L29" si="5">IF(ISBLANK(K8),"",SUM(K8*$D8))</f>
        <v/>
      </c>
      <c r="M8" s="125"/>
      <c r="N8" s="128" t="str">
        <f t="shared" si="0"/>
        <v/>
      </c>
      <c r="O8" s="125">
        <v>2</v>
      </c>
      <c r="P8" s="128">
        <f t="shared" ref="P8:P29" si="6">IF(ISBLANK(O8),"",SUM(O8*$D8))</f>
        <v>312</v>
      </c>
      <c r="Q8" s="126">
        <v>8</v>
      </c>
      <c r="R8" s="129">
        <f t="shared" ref="R8:R29" si="7">IF(ISBLANK(Q8),"",SUM(Q8*$D8))</f>
        <v>1248</v>
      </c>
      <c r="S8" s="122"/>
      <c r="T8" s="206"/>
      <c r="U8" s="128"/>
      <c r="V8" s="120">
        <f t="shared" ref="V8:V29" si="8">IFERROR(IF(ISBLANK($R8),"",$R8*$AL$9),"")</f>
        <v>571.51710630059745</v>
      </c>
      <c r="W8" s="121">
        <f t="shared" si="1"/>
        <v>676.48289369940255</v>
      </c>
      <c r="X8" s="96" t="str">
        <f t="shared" ref="X8:X28" si="9">IF(SUM(R8)=SUM(T8:W8),"","K")</f>
        <v/>
      </c>
      <c r="Y8" s="127" t="str">
        <f t="shared" ref="Y8:Y29" si="10">IF(SUM(J8,T8)=0,"",SUM(J8,T8))</f>
        <v/>
      </c>
      <c r="Z8" s="120" t="str">
        <f t="shared" ref="Z8:Z29" si="11">IF(SUM(L8,U8)=0,"",SUM(L8,U8))</f>
        <v/>
      </c>
      <c r="AA8" s="120">
        <f t="shared" ref="AA8:AA29" si="12">IF(SUM(N8,V8)=0,"",SUM(N8,V8))</f>
        <v>571.51710630059745</v>
      </c>
      <c r="AB8" s="129">
        <f t="shared" ref="AB8:AB29" si="13">IF(SUM(P8,W8)=0,"",SUM(P8,W8))</f>
        <v>988.48289369940255</v>
      </c>
      <c r="AD8" s="169" t="s">
        <v>150</v>
      </c>
      <c r="AE8" s="20">
        <v>164.00000000000003</v>
      </c>
      <c r="AF8" s="20">
        <v>0</v>
      </c>
      <c r="AG8" s="20">
        <v>0</v>
      </c>
      <c r="AH8" s="20">
        <v>2.4789462319153537</v>
      </c>
      <c r="AI8" s="20">
        <v>166.47894623191539</v>
      </c>
      <c r="AJ8" s="21">
        <v>0.21447944631785026</v>
      </c>
      <c r="AK8" s="276">
        <v>0</v>
      </c>
      <c r="AL8" s="208">
        <v>0</v>
      </c>
    </row>
    <row r="9" spans="2:40" x14ac:dyDescent="0.25">
      <c r="B9" s="123" t="s">
        <v>116</v>
      </c>
      <c r="C9" s="117">
        <f t="shared" si="2"/>
        <v>8</v>
      </c>
      <c r="D9" s="120">
        <v>163</v>
      </c>
      <c r="E9" s="202">
        <f t="shared" si="3"/>
        <v>1304</v>
      </c>
      <c r="F9" s="118" t="s">
        <v>23</v>
      </c>
      <c r="G9" s="124"/>
      <c r="I9" s="209"/>
      <c r="J9" s="120" t="str">
        <f t="shared" si="4"/>
        <v/>
      </c>
      <c r="K9" s="125"/>
      <c r="L9" s="120" t="str">
        <f t="shared" si="5"/>
        <v/>
      </c>
      <c r="M9" s="125">
        <v>2</v>
      </c>
      <c r="N9" s="128">
        <f t="shared" si="0"/>
        <v>326</v>
      </c>
      <c r="O9" s="125">
        <v>6</v>
      </c>
      <c r="P9" s="128">
        <f t="shared" si="6"/>
        <v>978</v>
      </c>
      <c r="Q9" s="126"/>
      <c r="R9" s="129" t="str">
        <f t="shared" si="7"/>
        <v/>
      </c>
      <c r="S9" s="122"/>
      <c r="T9" s="206"/>
      <c r="U9" s="128"/>
      <c r="V9" s="120" t="str">
        <f t="shared" si="8"/>
        <v/>
      </c>
      <c r="W9" s="121" t="str">
        <f t="shared" si="1"/>
        <v/>
      </c>
      <c r="X9" s="96" t="str">
        <f t="shared" si="9"/>
        <v/>
      </c>
      <c r="Y9" s="127" t="str">
        <f t="shared" si="10"/>
        <v/>
      </c>
      <c r="Z9" s="128" t="str">
        <f t="shared" si="11"/>
        <v/>
      </c>
      <c r="AA9" s="128">
        <f t="shared" si="12"/>
        <v>326</v>
      </c>
      <c r="AB9" s="129">
        <f t="shared" si="13"/>
        <v>978</v>
      </c>
      <c r="AD9" s="169" t="s">
        <v>151</v>
      </c>
      <c r="AE9" s="20">
        <v>123.5</v>
      </c>
      <c r="AF9" s="20">
        <v>76.769978046103191</v>
      </c>
      <c r="AG9" s="20">
        <v>0</v>
      </c>
      <c r="AH9" s="20">
        <v>18.82122086641148</v>
      </c>
      <c r="AI9" s="20">
        <v>219.09119891251464</v>
      </c>
      <c r="AJ9" s="21">
        <v>0.28226127146677998</v>
      </c>
      <c r="AK9" s="245">
        <v>219.09119891251464</v>
      </c>
      <c r="AL9" s="208">
        <v>0.4579463992793249</v>
      </c>
    </row>
    <row r="10" spans="2:40" x14ac:dyDescent="0.25">
      <c r="B10" s="123" t="s">
        <v>176</v>
      </c>
      <c r="C10" s="117">
        <f t="shared" si="2"/>
        <v>2</v>
      </c>
      <c r="D10" s="120">
        <v>307.5</v>
      </c>
      <c r="E10" s="202">
        <f t="shared" si="3"/>
        <v>615</v>
      </c>
      <c r="F10" s="118" t="s">
        <v>23</v>
      </c>
      <c r="G10" s="124"/>
      <c r="I10" s="209"/>
      <c r="J10" s="120" t="str">
        <f t="shared" si="4"/>
        <v/>
      </c>
      <c r="K10" s="125"/>
      <c r="L10" s="120" t="str">
        <f t="shared" si="5"/>
        <v/>
      </c>
      <c r="M10" s="125"/>
      <c r="N10" s="128" t="str">
        <f t="shared" si="0"/>
        <v/>
      </c>
      <c r="O10" s="125">
        <v>2</v>
      </c>
      <c r="P10" s="128">
        <f t="shared" si="6"/>
        <v>615</v>
      </c>
      <c r="Q10" s="126"/>
      <c r="R10" s="129"/>
      <c r="S10" s="122"/>
      <c r="T10" s="206"/>
      <c r="U10" s="128"/>
      <c r="V10" s="120" t="str">
        <f t="shared" si="8"/>
        <v/>
      </c>
      <c r="W10" s="121" t="str">
        <f t="shared" si="1"/>
        <v/>
      </c>
      <c r="X10" s="96" t="str">
        <f t="shared" ref="X10:X11" si="14">IF(SUM(R10)=SUM(T10:W10),"","K")</f>
        <v/>
      </c>
      <c r="Y10" s="127" t="str">
        <f t="shared" si="10"/>
        <v/>
      </c>
      <c r="Z10" s="128" t="str">
        <f t="shared" si="11"/>
        <v/>
      </c>
      <c r="AA10" s="128" t="str">
        <f t="shared" si="12"/>
        <v/>
      </c>
      <c r="AB10" s="129">
        <f t="shared" si="13"/>
        <v>615</v>
      </c>
      <c r="AD10" s="169" t="s">
        <v>152</v>
      </c>
      <c r="AE10" s="20">
        <v>175.6</v>
      </c>
      <c r="AF10" s="20">
        <v>49.130021953896822</v>
      </c>
      <c r="AG10" s="20">
        <v>0</v>
      </c>
      <c r="AH10" s="20">
        <v>34.59983290167316</v>
      </c>
      <c r="AI10" s="20">
        <v>259.32985485556998</v>
      </c>
      <c r="AJ10" s="21">
        <v>0.33410184856424885</v>
      </c>
      <c r="AK10" s="245">
        <v>259.32985485556998</v>
      </c>
      <c r="AL10" s="208">
        <v>0.5420536007206751</v>
      </c>
    </row>
    <row r="11" spans="2:40" x14ac:dyDescent="0.25">
      <c r="B11" s="123" t="s">
        <v>117</v>
      </c>
      <c r="C11" s="117">
        <f t="shared" si="2"/>
        <v>0</v>
      </c>
      <c r="D11" s="120">
        <v>357</v>
      </c>
      <c r="E11" s="202">
        <f t="shared" si="3"/>
        <v>0</v>
      </c>
      <c r="F11" s="118" t="s">
        <v>23</v>
      </c>
      <c r="G11" s="124"/>
      <c r="I11" s="209"/>
      <c r="J11" s="120" t="str">
        <f t="shared" si="4"/>
        <v/>
      </c>
      <c r="K11" s="125"/>
      <c r="L11" s="120" t="str">
        <f t="shared" si="5"/>
        <v/>
      </c>
      <c r="M11" s="125"/>
      <c r="N11" s="128" t="str">
        <f t="shared" si="0"/>
        <v/>
      </c>
      <c r="O11" s="125"/>
      <c r="P11" s="128" t="str">
        <f t="shared" si="6"/>
        <v/>
      </c>
      <c r="Q11" s="126"/>
      <c r="R11" s="129" t="str">
        <f t="shared" si="7"/>
        <v/>
      </c>
      <c r="S11" s="122"/>
      <c r="T11" s="206"/>
      <c r="U11" s="128"/>
      <c r="V11" s="120" t="str">
        <f t="shared" si="8"/>
        <v/>
      </c>
      <c r="W11" s="121" t="str">
        <f t="shared" si="1"/>
        <v/>
      </c>
      <c r="X11" s="96" t="str">
        <f t="shared" si="14"/>
        <v/>
      </c>
      <c r="Y11" s="127" t="str">
        <f t="shared" si="10"/>
        <v/>
      </c>
      <c r="Z11" s="128" t="str">
        <f t="shared" si="11"/>
        <v/>
      </c>
      <c r="AA11" s="128" t="str">
        <f t="shared" si="12"/>
        <v/>
      </c>
      <c r="AB11" s="129" t="str">
        <f t="shared" si="13"/>
        <v/>
      </c>
      <c r="AD11" s="169" t="s">
        <v>39</v>
      </c>
      <c r="AE11" s="20">
        <v>0</v>
      </c>
      <c r="AF11" s="20">
        <v>0</v>
      </c>
      <c r="AG11" s="20">
        <v>0</v>
      </c>
      <c r="AH11" s="20">
        <v>0</v>
      </c>
      <c r="AI11" s="20">
        <v>0</v>
      </c>
      <c r="AJ11" s="21">
        <v>0</v>
      </c>
      <c r="AK11" s="245">
        <v>0</v>
      </c>
      <c r="AL11" s="208">
        <v>0</v>
      </c>
    </row>
    <row r="12" spans="2:40" ht="15.75" thickBot="1" x14ac:dyDescent="0.3">
      <c r="B12" s="123" t="s">
        <v>118</v>
      </c>
      <c r="C12" s="117">
        <f t="shared" si="2"/>
        <v>5</v>
      </c>
      <c r="D12" s="120">
        <v>357</v>
      </c>
      <c r="E12" s="202">
        <f t="shared" si="3"/>
        <v>1785</v>
      </c>
      <c r="F12" s="118" t="s">
        <v>23</v>
      </c>
      <c r="G12" s="124"/>
      <c r="I12" s="209"/>
      <c r="J12" s="120" t="str">
        <f t="shared" si="4"/>
        <v/>
      </c>
      <c r="K12" s="125"/>
      <c r="L12" s="120" t="str">
        <f t="shared" si="5"/>
        <v/>
      </c>
      <c r="M12" s="125"/>
      <c r="N12" s="128" t="str">
        <f t="shared" si="0"/>
        <v/>
      </c>
      <c r="O12" s="125">
        <v>5</v>
      </c>
      <c r="P12" s="128">
        <f t="shared" si="6"/>
        <v>1785</v>
      </c>
      <c r="Q12" s="126"/>
      <c r="R12" s="129" t="str">
        <f t="shared" si="7"/>
        <v/>
      </c>
      <c r="S12" s="122"/>
      <c r="T12" s="206"/>
      <c r="U12" s="128"/>
      <c r="V12" s="120" t="str">
        <f t="shared" si="8"/>
        <v/>
      </c>
      <c r="W12" s="121" t="str">
        <f t="shared" si="1"/>
        <v/>
      </c>
      <c r="X12" s="96" t="str">
        <f t="shared" si="9"/>
        <v/>
      </c>
      <c r="Y12" s="127" t="str">
        <f t="shared" si="10"/>
        <v/>
      </c>
      <c r="Z12" s="128" t="str">
        <f t="shared" si="11"/>
        <v/>
      </c>
      <c r="AA12" s="128" t="str">
        <f t="shared" si="12"/>
        <v/>
      </c>
      <c r="AB12" s="129">
        <f t="shared" si="13"/>
        <v>1785</v>
      </c>
      <c r="AD12" s="179" t="s">
        <v>43</v>
      </c>
      <c r="AE12" s="180">
        <v>594.40000000000009</v>
      </c>
      <c r="AF12" s="180">
        <v>125.9</v>
      </c>
      <c r="AG12" s="180">
        <v>0</v>
      </c>
      <c r="AH12" s="180">
        <v>55.899999999999991</v>
      </c>
      <c r="AI12" s="180">
        <v>776.2</v>
      </c>
      <c r="AJ12" s="210">
        <v>1</v>
      </c>
      <c r="AK12" s="246">
        <v>478.42105376808462</v>
      </c>
      <c r="AL12" s="211">
        <v>1</v>
      </c>
    </row>
    <row r="13" spans="2:40" x14ac:dyDescent="0.25">
      <c r="B13" s="123" t="s">
        <v>119</v>
      </c>
      <c r="C13" s="117">
        <f t="shared" si="2"/>
        <v>13</v>
      </c>
      <c r="D13" s="120">
        <v>116</v>
      </c>
      <c r="E13" s="202">
        <f t="shared" si="3"/>
        <v>1508</v>
      </c>
      <c r="F13" s="118" t="s">
        <v>23</v>
      </c>
      <c r="G13" s="124"/>
      <c r="I13" s="209"/>
      <c r="J13" s="120" t="str">
        <f t="shared" si="4"/>
        <v/>
      </c>
      <c r="K13" s="125"/>
      <c r="L13" s="120" t="str">
        <f t="shared" si="5"/>
        <v/>
      </c>
      <c r="M13" s="125">
        <v>2</v>
      </c>
      <c r="N13" s="128">
        <f t="shared" si="0"/>
        <v>232</v>
      </c>
      <c r="O13" s="125">
        <v>11</v>
      </c>
      <c r="P13" s="128">
        <f t="shared" si="6"/>
        <v>1276</v>
      </c>
      <c r="Q13" s="126"/>
      <c r="R13" s="129" t="str">
        <f t="shared" si="7"/>
        <v/>
      </c>
      <c r="S13" s="122"/>
      <c r="T13" s="206"/>
      <c r="U13" s="128"/>
      <c r="V13" s="120" t="str">
        <f t="shared" si="8"/>
        <v/>
      </c>
      <c r="W13" s="121" t="str">
        <f t="shared" si="1"/>
        <v/>
      </c>
      <c r="X13" s="96" t="str">
        <f t="shared" si="9"/>
        <v/>
      </c>
      <c r="Y13" s="127" t="str">
        <f t="shared" si="10"/>
        <v/>
      </c>
      <c r="Z13" s="128" t="str">
        <f t="shared" si="11"/>
        <v/>
      </c>
      <c r="AA13" s="128">
        <f t="shared" si="12"/>
        <v>232</v>
      </c>
      <c r="AB13" s="129">
        <f t="shared" si="13"/>
        <v>1276</v>
      </c>
    </row>
    <row r="14" spans="2:40" x14ac:dyDescent="0.25">
      <c r="B14" s="123" t="s">
        <v>120</v>
      </c>
      <c r="C14" s="117">
        <f t="shared" si="2"/>
        <v>0</v>
      </c>
      <c r="D14" s="120">
        <v>162</v>
      </c>
      <c r="E14" s="202">
        <f t="shared" si="3"/>
        <v>0</v>
      </c>
      <c r="F14" s="118" t="s">
        <v>23</v>
      </c>
      <c r="G14" s="124"/>
      <c r="I14" s="209"/>
      <c r="J14" s="120" t="str">
        <f t="shared" si="4"/>
        <v/>
      </c>
      <c r="K14" s="125"/>
      <c r="L14" s="120" t="str">
        <f t="shared" si="5"/>
        <v/>
      </c>
      <c r="M14" s="125"/>
      <c r="N14" s="128" t="str">
        <f t="shared" si="0"/>
        <v/>
      </c>
      <c r="O14" s="125"/>
      <c r="P14" s="128" t="str">
        <f t="shared" si="6"/>
        <v/>
      </c>
      <c r="Q14" s="126"/>
      <c r="R14" s="129" t="str">
        <f t="shared" si="7"/>
        <v/>
      </c>
      <c r="S14" s="122"/>
      <c r="T14" s="206"/>
      <c r="U14" s="128"/>
      <c r="V14" s="120" t="str">
        <f t="shared" si="8"/>
        <v/>
      </c>
      <c r="W14" s="121" t="str">
        <f t="shared" si="1"/>
        <v/>
      </c>
      <c r="X14" s="96" t="str">
        <f t="shared" si="9"/>
        <v/>
      </c>
      <c r="Y14" s="127" t="str">
        <f t="shared" si="10"/>
        <v/>
      </c>
      <c r="Z14" s="128" t="str">
        <f t="shared" si="11"/>
        <v/>
      </c>
      <c r="AA14" s="128" t="str">
        <f t="shared" si="12"/>
        <v/>
      </c>
      <c r="AB14" s="129" t="str">
        <f t="shared" si="13"/>
        <v/>
      </c>
    </row>
    <row r="15" spans="2:40" x14ac:dyDescent="0.25">
      <c r="B15" s="130" t="s">
        <v>121</v>
      </c>
      <c r="C15" s="117">
        <f t="shared" si="2"/>
        <v>10</v>
      </c>
      <c r="D15" s="120">
        <v>162</v>
      </c>
      <c r="E15" s="202">
        <f t="shared" si="3"/>
        <v>1620</v>
      </c>
      <c r="F15" s="118" t="s">
        <v>23</v>
      </c>
      <c r="G15" s="124"/>
      <c r="I15" s="209"/>
      <c r="J15" s="120" t="str">
        <f t="shared" si="4"/>
        <v/>
      </c>
      <c r="K15" s="125"/>
      <c r="L15" s="120" t="str">
        <f t="shared" si="5"/>
        <v/>
      </c>
      <c r="M15" s="125"/>
      <c r="N15" s="128" t="str">
        <f t="shared" si="0"/>
        <v/>
      </c>
      <c r="O15" s="125">
        <v>10</v>
      </c>
      <c r="P15" s="128">
        <f t="shared" si="6"/>
        <v>1620</v>
      </c>
      <c r="Q15" s="126"/>
      <c r="R15" s="129" t="str">
        <f t="shared" si="7"/>
        <v/>
      </c>
      <c r="S15" s="122"/>
      <c r="T15" s="206"/>
      <c r="U15" s="128"/>
      <c r="V15" s="120" t="str">
        <f t="shared" si="8"/>
        <v/>
      </c>
      <c r="W15" s="121" t="str">
        <f t="shared" si="1"/>
        <v/>
      </c>
      <c r="X15" s="96" t="str">
        <f t="shared" si="9"/>
        <v/>
      </c>
      <c r="Y15" s="127" t="str">
        <f t="shared" si="10"/>
        <v/>
      </c>
      <c r="Z15" s="128" t="str">
        <f t="shared" si="11"/>
        <v/>
      </c>
      <c r="AA15" s="128" t="str">
        <f t="shared" si="12"/>
        <v/>
      </c>
      <c r="AB15" s="129">
        <f t="shared" si="13"/>
        <v>1620</v>
      </c>
      <c r="AI15" s="132"/>
      <c r="AJ15" s="133"/>
      <c r="AK15" s="133"/>
    </row>
    <row r="16" spans="2:40" x14ac:dyDescent="0.25">
      <c r="B16" s="130" t="s">
        <v>122</v>
      </c>
      <c r="C16" s="117">
        <f t="shared" si="2"/>
        <v>8</v>
      </c>
      <c r="D16" s="120">
        <v>113</v>
      </c>
      <c r="E16" s="202">
        <f t="shared" si="3"/>
        <v>904</v>
      </c>
      <c r="F16" s="118" t="s">
        <v>23</v>
      </c>
      <c r="G16" s="124"/>
      <c r="I16" s="209"/>
      <c r="J16" s="120" t="str">
        <f t="shared" si="4"/>
        <v/>
      </c>
      <c r="K16" s="125"/>
      <c r="L16" s="120" t="str">
        <f t="shared" si="5"/>
        <v/>
      </c>
      <c r="M16" s="125">
        <v>2</v>
      </c>
      <c r="N16" s="128">
        <f t="shared" si="0"/>
        <v>226</v>
      </c>
      <c r="O16" s="125">
        <v>6</v>
      </c>
      <c r="P16" s="128">
        <f t="shared" si="6"/>
        <v>678</v>
      </c>
      <c r="Q16" s="126"/>
      <c r="R16" s="129" t="str">
        <f t="shared" si="7"/>
        <v/>
      </c>
      <c r="S16" s="122"/>
      <c r="T16" s="206"/>
      <c r="U16" s="128"/>
      <c r="V16" s="120" t="str">
        <f t="shared" si="8"/>
        <v/>
      </c>
      <c r="W16" s="121" t="str">
        <f t="shared" si="1"/>
        <v/>
      </c>
      <c r="X16" s="96" t="str">
        <f t="shared" si="9"/>
        <v/>
      </c>
      <c r="Y16" s="127" t="str">
        <f t="shared" si="10"/>
        <v/>
      </c>
      <c r="Z16" s="128" t="str">
        <f t="shared" si="11"/>
        <v/>
      </c>
      <c r="AA16" s="128">
        <f t="shared" si="12"/>
        <v>226</v>
      </c>
      <c r="AB16" s="129">
        <f t="shared" si="13"/>
        <v>678</v>
      </c>
      <c r="AI16" s="132"/>
      <c r="AJ16" s="133"/>
      <c r="AK16" s="133"/>
    </row>
    <row r="17" spans="2:37" x14ac:dyDescent="0.25">
      <c r="B17" s="123" t="s">
        <v>123</v>
      </c>
      <c r="C17" s="117">
        <f t="shared" si="2"/>
        <v>11</v>
      </c>
      <c r="D17" s="120">
        <v>71</v>
      </c>
      <c r="E17" s="202">
        <f t="shared" si="3"/>
        <v>781</v>
      </c>
      <c r="F17" s="118" t="s">
        <v>23</v>
      </c>
      <c r="G17" s="124"/>
      <c r="I17" s="209"/>
      <c r="J17" s="120" t="str">
        <f t="shared" si="4"/>
        <v/>
      </c>
      <c r="K17" s="125"/>
      <c r="L17" s="120" t="str">
        <f t="shared" si="5"/>
        <v/>
      </c>
      <c r="M17" s="125">
        <v>5</v>
      </c>
      <c r="N17" s="128">
        <f t="shared" si="0"/>
        <v>355</v>
      </c>
      <c r="O17" s="125">
        <v>6</v>
      </c>
      <c r="P17" s="128">
        <f t="shared" si="6"/>
        <v>426</v>
      </c>
      <c r="Q17" s="126"/>
      <c r="R17" s="129" t="str">
        <f t="shared" si="7"/>
        <v/>
      </c>
      <c r="S17" s="122"/>
      <c r="T17" s="206"/>
      <c r="U17" s="128"/>
      <c r="V17" s="120" t="str">
        <f t="shared" si="8"/>
        <v/>
      </c>
      <c r="W17" s="121" t="str">
        <f t="shared" si="1"/>
        <v/>
      </c>
      <c r="X17" s="96" t="str">
        <f t="shared" si="9"/>
        <v/>
      </c>
      <c r="Y17" s="127" t="str">
        <f t="shared" si="10"/>
        <v/>
      </c>
      <c r="Z17" s="128" t="str">
        <f t="shared" si="11"/>
        <v/>
      </c>
      <c r="AA17" s="128">
        <f t="shared" si="12"/>
        <v>355</v>
      </c>
      <c r="AB17" s="129">
        <f t="shared" si="13"/>
        <v>426</v>
      </c>
      <c r="AI17" s="132"/>
      <c r="AJ17" s="133"/>
      <c r="AK17" s="133"/>
    </row>
    <row r="18" spans="2:37" x14ac:dyDescent="0.25">
      <c r="B18" s="123" t="s">
        <v>124</v>
      </c>
      <c r="C18" s="117">
        <f t="shared" si="2"/>
        <v>0</v>
      </c>
      <c r="D18" s="120">
        <v>581</v>
      </c>
      <c r="E18" s="202">
        <f t="shared" si="3"/>
        <v>0</v>
      </c>
      <c r="F18" s="118" t="s">
        <v>23</v>
      </c>
      <c r="G18" s="124"/>
      <c r="I18" s="209"/>
      <c r="J18" s="120" t="str">
        <f t="shared" si="4"/>
        <v/>
      </c>
      <c r="K18" s="125"/>
      <c r="L18" s="120" t="str">
        <f t="shared" si="5"/>
        <v/>
      </c>
      <c r="M18" s="125"/>
      <c r="N18" s="128" t="str">
        <f t="shared" si="0"/>
        <v/>
      </c>
      <c r="O18" s="125"/>
      <c r="P18" s="128" t="str">
        <f t="shared" si="6"/>
        <v/>
      </c>
      <c r="Q18" s="126"/>
      <c r="R18" s="129" t="str">
        <f t="shared" si="7"/>
        <v/>
      </c>
      <c r="S18" s="122"/>
      <c r="T18" s="206"/>
      <c r="U18" s="128"/>
      <c r="V18" s="120" t="str">
        <f t="shared" si="8"/>
        <v/>
      </c>
      <c r="W18" s="121" t="str">
        <f t="shared" si="1"/>
        <v/>
      </c>
      <c r="X18" s="96" t="str">
        <f t="shared" si="9"/>
        <v/>
      </c>
      <c r="Y18" s="127" t="str">
        <f t="shared" si="10"/>
        <v/>
      </c>
      <c r="Z18" s="128" t="str">
        <f t="shared" si="11"/>
        <v/>
      </c>
      <c r="AA18" s="128" t="str">
        <f t="shared" si="12"/>
        <v/>
      </c>
      <c r="AB18" s="129" t="str">
        <f t="shared" si="13"/>
        <v/>
      </c>
      <c r="AI18" s="132"/>
      <c r="AJ18" s="133"/>
      <c r="AK18" s="133"/>
    </row>
    <row r="19" spans="2:37" x14ac:dyDescent="0.25">
      <c r="B19" s="131" t="s">
        <v>125</v>
      </c>
      <c r="C19" s="117">
        <f t="shared" si="2"/>
        <v>1</v>
      </c>
      <c r="D19" s="120">
        <v>424</v>
      </c>
      <c r="E19" s="202">
        <f t="shared" si="3"/>
        <v>424</v>
      </c>
      <c r="F19" s="118" t="s">
        <v>23</v>
      </c>
      <c r="G19" s="124"/>
      <c r="I19" s="209"/>
      <c r="J19" s="120" t="str">
        <f t="shared" si="4"/>
        <v/>
      </c>
      <c r="K19" s="125"/>
      <c r="L19" s="120" t="str">
        <f t="shared" si="5"/>
        <v/>
      </c>
      <c r="M19" s="125"/>
      <c r="N19" s="128" t="str">
        <f t="shared" si="0"/>
        <v/>
      </c>
      <c r="O19" s="125"/>
      <c r="P19" s="128" t="str">
        <f t="shared" si="6"/>
        <v/>
      </c>
      <c r="Q19" s="126">
        <v>1</v>
      </c>
      <c r="R19" s="129">
        <f t="shared" si="7"/>
        <v>424</v>
      </c>
      <c r="S19" s="122"/>
      <c r="T19" s="206"/>
      <c r="U19" s="128"/>
      <c r="V19" s="120">
        <f t="shared" si="8"/>
        <v>194.16927329443376</v>
      </c>
      <c r="W19" s="121">
        <f t="shared" si="1"/>
        <v>229.83072670556624</v>
      </c>
      <c r="X19" s="96" t="str">
        <f t="shared" si="9"/>
        <v/>
      </c>
      <c r="Y19" s="127" t="str">
        <f t="shared" si="10"/>
        <v/>
      </c>
      <c r="Z19" s="128" t="str">
        <f t="shared" si="11"/>
        <v/>
      </c>
      <c r="AA19" s="128">
        <f t="shared" si="12"/>
        <v>194.16927329443376</v>
      </c>
      <c r="AB19" s="129">
        <f t="shared" si="13"/>
        <v>229.83072670556624</v>
      </c>
      <c r="AI19" s="132"/>
      <c r="AJ19" s="133"/>
      <c r="AK19" s="133"/>
    </row>
    <row r="20" spans="2:37" x14ac:dyDescent="0.25">
      <c r="B20" s="123" t="s">
        <v>126</v>
      </c>
      <c r="C20" s="117">
        <f t="shared" si="2"/>
        <v>1</v>
      </c>
      <c r="D20" s="120">
        <v>500</v>
      </c>
      <c r="E20" s="202">
        <f t="shared" si="3"/>
        <v>500</v>
      </c>
      <c r="F20" s="118" t="s">
        <v>23</v>
      </c>
      <c r="G20" s="124"/>
      <c r="I20" s="209"/>
      <c r="J20" s="120" t="str">
        <f t="shared" si="4"/>
        <v/>
      </c>
      <c r="K20" s="125"/>
      <c r="L20" s="120" t="str">
        <f t="shared" si="5"/>
        <v/>
      </c>
      <c r="M20" s="125"/>
      <c r="N20" s="128" t="str">
        <f t="shared" si="0"/>
        <v/>
      </c>
      <c r="O20" s="125"/>
      <c r="P20" s="128" t="str">
        <f t="shared" si="6"/>
        <v/>
      </c>
      <c r="Q20" s="126">
        <v>1</v>
      </c>
      <c r="R20" s="129">
        <f t="shared" si="7"/>
        <v>500</v>
      </c>
      <c r="S20" s="122"/>
      <c r="T20" s="206"/>
      <c r="U20" s="128"/>
      <c r="V20" s="120">
        <f t="shared" si="8"/>
        <v>228.97319963966245</v>
      </c>
      <c r="W20" s="121">
        <f t="shared" si="1"/>
        <v>271.02680036033757</v>
      </c>
      <c r="X20" s="96" t="str">
        <f t="shared" si="9"/>
        <v/>
      </c>
      <c r="Y20" s="127" t="str">
        <f t="shared" si="10"/>
        <v/>
      </c>
      <c r="Z20" s="128" t="str">
        <f t="shared" si="11"/>
        <v/>
      </c>
      <c r="AA20" s="128">
        <f t="shared" si="12"/>
        <v>228.97319963966245</v>
      </c>
      <c r="AB20" s="129">
        <f t="shared" si="13"/>
        <v>271.02680036033757</v>
      </c>
      <c r="AI20" s="186"/>
      <c r="AJ20" s="187"/>
      <c r="AK20" s="187"/>
    </row>
    <row r="21" spans="2:37" x14ac:dyDescent="0.25">
      <c r="B21" s="123" t="s">
        <v>127</v>
      </c>
      <c r="C21" s="117">
        <f t="shared" si="2"/>
        <v>1</v>
      </c>
      <c r="D21" s="120">
        <v>112</v>
      </c>
      <c r="E21" s="202">
        <f t="shared" si="3"/>
        <v>112</v>
      </c>
      <c r="F21" s="118" t="s">
        <v>23</v>
      </c>
      <c r="G21" s="124"/>
      <c r="I21" s="209"/>
      <c r="J21" s="120" t="str">
        <f t="shared" si="4"/>
        <v/>
      </c>
      <c r="K21" s="125"/>
      <c r="L21" s="120" t="str">
        <f t="shared" si="5"/>
        <v/>
      </c>
      <c r="M21" s="125"/>
      <c r="N21" s="128" t="str">
        <f t="shared" si="0"/>
        <v/>
      </c>
      <c r="O21" s="125"/>
      <c r="P21" s="128" t="str">
        <f t="shared" si="6"/>
        <v/>
      </c>
      <c r="Q21" s="126">
        <v>1</v>
      </c>
      <c r="R21" s="129">
        <f t="shared" si="7"/>
        <v>112</v>
      </c>
      <c r="S21" s="122"/>
      <c r="T21" s="206"/>
      <c r="U21" s="128"/>
      <c r="V21" s="120">
        <f t="shared" si="8"/>
        <v>51.289996719284389</v>
      </c>
      <c r="W21" s="121">
        <f t="shared" si="1"/>
        <v>60.710003280715611</v>
      </c>
      <c r="X21" s="96" t="str">
        <f t="shared" si="9"/>
        <v/>
      </c>
      <c r="Y21" s="127" t="str">
        <f t="shared" si="10"/>
        <v/>
      </c>
      <c r="Z21" s="128" t="str">
        <f t="shared" si="11"/>
        <v/>
      </c>
      <c r="AA21" s="128">
        <f t="shared" si="12"/>
        <v>51.289996719284389</v>
      </c>
      <c r="AB21" s="129">
        <f t="shared" si="13"/>
        <v>60.710003280715611</v>
      </c>
    </row>
    <row r="22" spans="2:37" x14ac:dyDescent="0.25">
      <c r="B22" s="134" t="s">
        <v>128</v>
      </c>
      <c r="C22" s="117">
        <f t="shared" si="2"/>
        <v>1</v>
      </c>
      <c r="D22" s="120">
        <v>230</v>
      </c>
      <c r="E22" s="202">
        <f t="shared" si="3"/>
        <v>230</v>
      </c>
      <c r="F22" s="118" t="s">
        <v>23</v>
      </c>
      <c r="G22" s="124"/>
      <c r="I22" s="209"/>
      <c r="J22" s="120" t="str">
        <f t="shared" si="4"/>
        <v/>
      </c>
      <c r="K22" s="125"/>
      <c r="L22" s="120" t="str">
        <f t="shared" si="5"/>
        <v/>
      </c>
      <c r="M22" s="125"/>
      <c r="N22" s="128" t="str">
        <f t="shared" si="0"/>
        <v/>
      </c>
      <c r="O22" s="125">
        <v>1</v>
      </c>
      <c r="P22" s="128">
        <f t="shared" si="6"/>
        <v>230</v>
      </c>
      <c r="Q22" s="126"/>
      <c r="R22" s="129" t="str">
        <f t="shared" si="7"/>
        <v/>
      </c>
      <c r="S22" s="122"/>
      <c r="T22" s="206"/>
      <c r="U22" s="128"/>
      <c r="V22" s="120" t="str">
        <f t="shared" si="8"/>
        <v/>
      </c>
      <c r="W22" s="121" t="str">
        <f t="shared" si="1"/>
        <v/>
      </c>
      <c r="X22" s="96" t="str">
        <f t="shared" si="9"/>
        <v/>
      </c>
      <c r="Y22" s="127" t="str">
        <f t="shared" si="10"/>
        <v/>
      </c>
      <c r="Z22" s="128" t="str">
        <f t="shared" si="11"/>
        <v/>
      </c>
      <c r="AA22" s="128" t="str">
        <f t="shared" si="12"/>
        <v/>
      </c>
      <c r="AB22" s="129">
        <f t="shared" si="13"/>
        <v>230</v>
      </c>
    </row>
    <row r="23" spans="2:37" x14ac:dyDescent="0.25">
      <c r="B23" s="134" t="s">
        <v>129</v>
      </c>
      <c r="C23" s="117">
        <f t="shared" si="2"/>
        <v>1</v>
      </c>
      <c r="D23" s="120">
        <v>361</v>
      </c>
      <c r="E23" s="202">
        <f t="shared" si="3"/>
        <v>361</v>
      </c>
      <c r="F23" s="118" t="s">
        <v>23</v>
      </c>
      <c r="G23" s="124"/>
      <c r="I23" s="209"/>
      <c r="J23" s="120" t="str">
        <f t="shared" si="4"/>
        <v/>
      </c>
      <c r="K23" s="125"/>
      <c r="L23" s="120" t="str">
        <f t="shared" si="5"/>
        <v/>
      </c>
      <c r="M23" s="125"/>
      <c r="N23" s="128" t="str">
        <f t="shared" si="0"/>
        <v/>
      </c>
      <c r="O23" s="125"/>
      <c r="P23" s="128" t="str">
        <f t="shared" si="6"/>
        <v/>
      </c>
      <c r="Q23" s="126">
        <v>1</v>
      </c>
      <c r="R23" s="129">
        <f t="shared" si="7"/>
        <v>361</v>
      </c>
      <c r="S23" s="122"/>
      <c r="T23" s="206"/>
      <c r="U23" s="128"/>
      <c r="V23" s="120">
        <f t="shared" si="8"/>
        <v>165.31865013983628</v>
      </c>
      <c r="W23" s="121">
        <f t="shared" si="1"/>
        <v>195.68134986016372</v>
      </c>
      <c r="X23" s="96" t="str">
        <f t="shared" si="9"/>
        <v/>
      </c>
      <c r="Y23" s="127" t="str">
        <f t="shared" si="10"/>
        <v/>
      </c>
      <c r="Z23" s="128" t="str">
        <f t="shared" si="11"/>
        <v/>
      </c>
      <c r="AA23" s="128">
        <f t="shared" si="12"/>
        <v>165.31865013983628</v>
      </c>
      <c r="AB23" s="129">
        <f t="shared" si="13"/>
        <v>195.68134986016372</v>
      </c>
      <c r="AI23" s="212"/>
    </row>
    <row r="24" spans="2:37" x14ac:dyDescent="0.25">
      <c r="B24" s="134" t="s">
        <v>130</v>
      </c>
      <c r="C24" s="117">
        <f t="shared" si="2"/>
        <v>1</v>
      </c>
      <c r="D24" s="120">
        <v>264</v>
      </c>
      <c r="E24" s="202">
        <f t="shared" si="3"/>
        <v>264</v>
      </c>
      <c r="F24" s="118" t="s">
        <v>23</v>
      </c>
      <c r="G24" s="124"/>
      <c r="I24" s="209"/>
      <c r="J24" s="120" t="str">
        <f t="shared" si="4"/>
        <v/>
      </c>
      <c r="K24" s="125"/>
      <c r="L24" s="120" t="str">
        <f t="shared" si="5"/>
        <v/>
      </c>
      <c r="M24" s="125"/>
      <c r="N24" s="128" t="str">
        <f t="shared" si="0"/>
        <v/>
      </c>
      <c r="O24" s="125">
        <v>1</v>
      </c>
      <c r="P24" s="128">
        <f t="shared" si="6"/>
        <v>264</v>
      </c>
      <c r="Q24" s="126"/>
      <c r="R24" s="129" t="str">
        <f t="shared" si="7"/>
        <v/>
      </c>
      <c r="S24" s="122"/>
      <c r="T24" s="206"/>
      <c r="U24" s="128"/>
      <c r="V24" s="120" t="str">
        <f t="shared" si="8"/>
        <v/>
      </c>
      <c r="W24" s="121" t="str">
        <f t="shared" si="1"/>
        <v/>
      </c>
      <c r="X24" s="96" t="str">
        <f t="shared" si="9"/>
        <v/>
      </c>
      <c r="Y24" s="127" t="str">
        <f t="shared" si="10"/>
        <v/>
      </c>
      <c r="Z24" s="128" t="str">
        <f t="shared" si="11"/>
        <v/>
      </c>
      <c r="AA24" s="128" t="str">
        <f t="shared" si="12"/>
        <v/>
      </c>
      <c r="AB24" s="129">
        <f t="shared" si="13"/>
        <v>264</v>
      </c>
    </row>
    <row r="25" spans="2:37" x14ac:dyDescent="0.25">
      <c r="B25" s="134" t="s">
        <v>131</v>
      </c>
      <c r="C25" s="117">
        <f t="shared" si="2"/>
        <v>2</v>
      </c>
      <c r="D25" s="120">
        <v>125</v>
      </c>
      <c r="E25" s="202">
        <f t="shared" si="3"/>
        <v>250</v>
      </c>
      <c r="F25" s="118" t="s">
        <v>23</v>
      </c>
      <c r="G25" s="124"/>
      <c r="I25" s="209"/>
      <c r="J25" s="120" t="str">
        <f t="shared" si="4"/>
        <v/>
      </c>
      <c r="K25" s="125"/>
      <c r="L25" s="120" t="str">
        <f t="shared" si="5"/>
        <v/>
      </c>
      <c r="M25" s="125"/>
      <c r="N25" s="128" t="str">
        <f t="shared" si="0"/>
        <v/>
      </c>
      <c r="O25" s="125">
        <v>2</v>
      </c>
      <c r="P25" s="128">
        <f t="shared" si="6"/>
        <v>250</v>
      </c>
      <c r="Q25" s="126"/>
      <c r="R25" s="129" t="str">
        <f t="shared" si="7"/>
        <v/>
      </c>
      <c r="S25" s="122"/>
      <c r="T25" s="206"/>
      <c r="U25" s="128"/>
      <c r="V25" s="120" t="str">
        <f t="shared" si="8"/>
        <v/>
      </c>
      <c r="W25" s="121" t="str">
        <f t="shared" si="1"/>
        <v/>
      </c>
      <c r="X25" s="96" t="str">
        <f t="shared" si="9"/>
        <v/>
      </c>
      <c r="Y25" s="127" t="str">
        <f t="shared" si="10"/>
        <v/>
      </c>
      <c r="Z25" s="128" t="str">
        <f t="shared" si="11"/>
        <v/>
      </c>
      <c r="AA25" s="128" t="str">
        <f t="shared" si="12"/>
        <v/>
      </c>
      <c r="AB25" s="129">
        <f t="shared" si="13"/>
        <v>250</v>
      </c>
    </row>
    <row r="26" spans="2:37" x14ac:dyDescent="0.25">
      <c r="B26" s="134" t="s">
        <v>132</v>
      </c>
      <c r="C26" s="117">
        <f t="shared" si="2"/>
        <v>0</v>
      </c>
      <c r="D26" s="120">
        <v>400</v>
      </c>
      <c r="E26" s="202">
        <f t="shared" si="3"/>
        <v>0</v>
      </c>
      <c r="F26" s="118" t="s">
        <v>23</v>
      </c>
      <c r="G26" s="124"/>
      <c r="I26" s="209"/>
      <c r="J26" s="120" t="str">
        <f t="shared" si="4"/>
        <v/>
      </c>
      <c r="K26" s="125"/>
      <c r="L26" s="120" t="str">
        <f t="shared" si="5"/>
        <v/>
      </c>
      <c r="M26" s="125"/>
      <c r="N26" s="128" t="str">
        <f t="shared" si="0"/>
        <v/>
      </c>
      <c r="O26" s="125"/>
      <c r="P26" s="128" t="str">
        <f t="shared" si="6"/>
        <v/>
      </c>
      <c r="Q26" s="126"/>
      <c r="R26" s="129" t="str">
        <f t="shared" si="7"/>
        <v/>
      </c>
      <c r="S26" s="122"/>
      <c r="T26" s="206"/>
      <c r="U26" s="128"/>
      <c r="V26" s="120" t="str">
        <f t="shared" si="8"/>
        <v/>
      </c>
      <c r="W26" s="121" t="str">
        <f t="shared" si="1"/>
        <v/>
      </c>
      <c r="X26" s="96" t="str">
        <f t="shared" si="9"/>
        <v/>
      </c>
      <c r="Y26" s="127" t="str">
        <f t="shared" si="10"/>
        <v/>
      </c>
      <c r="Z26" s="128" t="str">
        <f t="shared" si="11"/>
        <v/>
      </c>
      <c r="AA26" s="128" t="str">
        <f t="shared" si="12"/>
        <v/>
      </c>
      <c r="AB26" s="129" t="str">
        <f t="shared" si="13"/>
        <v/>
      </c>
    </row>
    <row r="27" spans="2:37" x14ac:dyDescent="0.25">
      <c r="B27" s="135" t="s">
        <v>133</v>
      </c>
      <c r="C27" s="117">
        <f t="shared" si="2"/>
        <v>0</v>
      </c>
      <c r="D27" s="120">
        <v>192</v>
      </c>
      <c r="E27" s="202">
        <f t="shared" si="3"/>
        <v>0</v>
      </c>
      <c r="F27" s="118" t="s">
        <v>23</v>
      </c>
      <c r="G27" s="124"/>
      <c r="I27" s="209"/>
      <c r="J27" s="120" t="str">
        <f t="shared" si="4"/>
        <v/>
      </c>
      <c r="K27" s="125"/>
      <c r="L27" s="120" t="str">
        <f t="shared" si="5"/>
        <v/>
      </c>
      <c r="M27" s="125"/>
      <c r="N27" s="128" t="str">
        <f t="shared" si="0"/>
        <v/>
      </c>
      <c r="O27" s="125"/>
      <c r="P27" s="128" t="str">
        <f t="shared" si="6"/>
        <v/>
      </c>
      <c r="Q27" s="126"/>
      <c r="R27" s="129" t="str">
        <f t="shared" si="7"/>
        <v/>
      </c>
      <c r="S27" s="122"/>
      <c r="T27" s="206"/>
      <c r="U27" s="128"/>
      <c r="V27" s="120" t="str">
        <f t="shared" si="8"/>
        <v/>
      </c>
      <c r="W27" s="121" t="str">
        <f t="shared" si="1"/>
        <v/>
      </c>
      <c r="X27" s="96" t="str">
        <f t="shared" si="9"/>
        <v/>
      </c>
      <c r="Y27" s="127" t="str">
        <f t="shared" si="10"/>
        <v/>
      </c>
      <c r="Z27" s="128" t="str">
        <f t="shared" si="11"/>
        <v/>
      </c>
      <c r="AA27" s="128" t="str">
        <f t="shared" si="12"/>
        <v/>
      </c>
      <c r="AB27" s="129" t="str">
        <f t="shared" si="13"/>
        <v/>
      </c>
    </row>
    <row r="28" spans="2:37" x14ac:dyDescent="0.25">
      <c r="B28" s="134" t="s">
        <v>134</v>
      </c>
      <c r="C28" s="117">
        <f t="shared" si="2"/>
        <v>44</v>
      </c>
      <c r="D28" s="120">
        <v>69</v>
      </c>
      <c r="E28" s="202">
        <f t="shared" si="3"/>
        <v>3036</v>
      </c>
      <c r="F28" s="118" t="s">
        <v>23</v>
      </c>
      <c r="G28" s="124"/>
      <c r="I28" s="209"/>
      <c r="J28" s="120" t="str">
        <f t="shared" si="4"/>
        <v/>
      </c>
      <c r="K28" s="125"/>
      <c r="L28" s="120" t="str">
        <f t="shared" si="5"/>
        <v/>
      </c>
      <c r="M28" s="125"/>
      <c r="N28" s="128" t="str">
        <f t="shared" si="0"/>
        <v/>
      </c>
      <c r="O28" s="125">
        <v>18</v>
      </c>
      <c r="P28" s="128">
        <f t="shared" si="6"/>
        <v>1242</v>
      </c>
      <c r="Q28" s="126">
        <v>26</v>
      </c>
      <c r="R28" s="129">
        <f t="shared" si="7"/>
        <v>1794</v>
      </c>
      <c r="S28" s="122"/>
      <c r="T28" s="206"/>
      <c r="U28" s="128"/>
      <c r="V28" s="120">
        <f t="shared" si="8"/>
        <v>821.55584030710884</v>
      </c>
      <c r="W28" s="121">
        <f t="shared" si="1"/>
        <v>972.44415969289116</v>
      </c>
      <c r="X28" s="96" t="str">
        <f t="shared" si="9"/>
        <v/>
      </c>
      <c r="Y28" s="127" t="str">
        <f t="shared" si="10"/>
        <v/>
      </c>
      <c r="Z28" s="128" t="str">
        <f t="shared" si="11"/>
        <v/>
      </c>
      <c r="AA28" s="128">
        <f t="shared" si="12"/>
        <v>821.55584030710884</v>
      </c>
      <c r="AB28" s="129">
        <f t="shared" si="13"/>
        <v>2214.4441596928909</v>
      </c>
    </row>
    <row r="29" spans="2:37" ht="15.75" thickBot="1" x14ac:dyDescent="0.3">
      <c r="B29" s="136" t="s">
        <v>135</v>
      </c>
      <c r="C29" s="117">
        <f t="shared" si="2"/>
        <v>4</v>
      </c>
      <c r="D29" s="139">
        <v>225.65</v>
      </c>
      <c r="E29" s="213">
        <f t="shared" si="3"/>
        <v>902.6</v>
      </c>
      <c r="F29" s="137" t="s">
        <v>23</v>
      </c>
      <c r="G29" s="138"/>
      <c r="I29" s="214"/>
      <c r="J29" s="139" t="str">
        <f t="shared" si="4"/>
        <v/>
      </c>
      <c r="K29" s="140"/>
      <c r="L29" s="139" t="str">
        <f t="shared" si="5"/>
        <v/>
      </c>
      <c r="M29" s="140">
        <v>4</v>
      </c>
      <c r="N29" s="143">
        <f t="shared" si="0"/>
        <v>902.6</v>
      </c>
      <c r="O29" s="140"/>
      <c r="P29" s="143" t="str">
        <f t="shared" si="6"/>
        <v/>
      </c>
      <c r="Q29" s="141"/>
      <c r="R29" s="144" t="str">
        <f t="shared" si="7"/>
        <v/>
      </c>
      <c r="S29" s="122"/>
      <c r="T29" s="235"/>
      <c r="U29" s="236"/>
      <c r="V29" s="237" t="str">
        <f t="shared" si="8"/>
        <v/>
      </c>
      <c r="W29" s="238" t="str">
        <f t="shared" si="1"/>
        <v/>
      </c>
      <c r="Y29" s="142" t="str">
        <f t="shared" si="10"/>
        <v/>
      </c>
      <c r="Z29" s="143" t="str">
        <f t="shared" si="11"/>
        <v/>
      </c>
      <c r="AA29" s="143">
        <f t="shared" si="12"/>
        <v>902.6</v>
      </c>
      <c r="AB29" s="144" t="str">
        <f t="shared" si="13"/>
        <v/>
      </c>
    </row>
    <row r="30" spans="2:37" ht="15.75" thickBot="1" x14ac:dyDescent="0.3">
      <c r="B30" s="145" t="s">
        <v>136</v>
      </c>
      <c r="C30" s="146"/>
      <c r="D30" s="147"/>
      <c r="E30" s="215">
        <f>SUM(E7:E29)</f>
        <v>18739.599999999999</v>
      </c>
      <c r="F30" s="147"/>
      <c r="G30" s="147"/>
      <c r="H30" s="147"/>
      <c r="I30" s="216"/>
      <c r="J30" s="215">
        <f t="shared" ref="J30" si="15">SUM(J7:J29)</f>
        <v>0</v>
      </c>
      <c r="K30" s="216"/>
      <c r="L30" s="215">
        <f t="shared" ref="L30" si="16">SUM(L7:L29)</f>
        <v>0</v>
      </c>
      <c r="M30" s="216"/>
      <c r="N30" s="215">
        <f t="shared" ref="N30:R30" si="17">SUM(N7:N29)</f>
        <v>4337.6000000000004</v>
      </c>
      <c r="O30" s="217"/>
      <c r="P30" s="215">
        <f t="shared" si="17"/>
        <v>9963</v>
      </c>
      <c r="Q30" s="217"/>
      <c r="R30" s="215">
        <f t="shared" si="17"/>
        <v>4439</v>
      </c>
      <c r="S30" s="147"/>
      <c r="T30" s="218">
        <f>SUM(T7:T29)</f>
        <v>0</v>
      </c>
      <c r="U30" s="218">
        <f>SUM(U7:U29)</f>
        <v>0</v>
      </c>
      <c r="V30" s="218">
        <f>SUM(V7:V29)</f>
        <v>2032.8240664009231</v>
      </c>
      <c r="W30" s="218">
        <f>SUM(W7:W29)</f>
        <v>2406.1759335990769</v>
      </c>
      <c r="X30" s="147"/>
      <c r="Y30" s="148">
        <f>SUM(Y7:Y29)</f>
        <v>0</v>
      </c>
      <c r="Z30" s="148">
        <f t="shared" ref="Z30:AB30" si="18">SUM(Z7:Z29)</f>
        <v>0</v>
      </c>
      <c r="AA30" s="148">
        <f t="shared" si="18"/>
        <v>6370.424066400923</v>
      </c>
      <c r="AB30" s="149">
        <f t="shared" si="18"/>
        <v>12369.175933599076</v>
      </c>
    </row>
    <row r="31" spans="2:37" ht="15.75" thickBot="1" x14ac:dyDescent="0.3">
      <c r="B31" s="150" t="s">
        <v>29</v>
      </c>
      <c r="C31" s="151"/>
      <c r="D31" s="152"/>
      <c r="E31" s="266">
        <f>E30*2.5%</f>
        <v>468.49</v>
      </c>
      <c r="F31" s="153"/>
      <c r="G31" s="153"/>
      <c r="H31" s="153"/>
      <c r="I31" s="267"/>
      <c r="J31" s="267">
        <f>$E$31*J30/$E$30</f>
        <v>0</v>
      </c>
      <c r="K31" s="267"/>
      <c r="L31" s="267">
        <f>$E$31*L30/$E$30</f>
        <v>0</v>
      </c>
      <c r="M31" s="267"/>
      <c r="N31" s="267">
        <f>$E$31*N30/$E$30</f>
        <v>108.44000000000001</v>
      </c>
      <c r="O31" s="267"/>
      <c r="P31" s="267">
        <f>$E$31*P30/$E$30</f>
        <v>249.07500000000002</v>
      </c>
      <c r="Q31" s="267"/>
      <c r="R31" s="267">
        <f>$E$31*R30/$E$30</f>
        <v>110.97500000000001</v>
      </c>
      <c r="S31" s="268"/>
      <c r="T31" s="269">
        <f>$R$31*T30/$R$30</f>
        <v>0</v>
      </c>
      <c r="U31" s="269">
        <f>$R$31*U30/$R$30</f>
        <v>0</v>
      </c>
      <c r="V31" s="269">
        <f t="shared" ref="V31:W31" si="19">$R$31*V30/$R$30</f>
        <v>50.82060166002308</v>
      </c>
      <c r="W31" s="269">
        <f t="shared" si="19"/>
        <v>60.154398339976929</v>
      </c>
      <c r="X31" s="268"/>
      <c r="Y31" s="267">
        <f>$R$31*Y30/$R$30</f>
        <v>0</v>
      </c>
      <c r="Z31" s="267">
        <f t="shared" ref="Z31:AB31" si="20">$R$31*Z30/$R$30</f>
        <v>0</v>
      </c>
      <c r="AA31" s="267">
        <f t="shared" si="20"/>
        <v>159.26060166002307</v>
      </c>
      <c r="AB31" s="270">
        <f t="shared" si="20"/>
        <v>309.22939833997691</v>
      </c>
    </row>
    <row r="32" spans="2:37" ht="15.75" thickBot="1" x14ac:dyDescent="0.3">
      <c r="B32" s="219" t="s">
        <v>164</v>
      </c>
      <c r="C32" s="147"/>
      <c r="D32" s="147"/>
      <c r="E32" s="271">
        <f>SUM(E30:E31)</f>
        <v>19208.09</v>
      </c>
      <c r="F32" s="147"/>
      <c r="G32" s="147"/>
      <c r="H32" s="147"/>
      <c r="I32" s="271"/>
      <c r="J32" s="271">
        <f>SUM(J30:J31)</f>
        <v>0</v>
      </c>
      <c r="K32" s="271"/>
      <c r="L32" s="271">
        <f>SUM(L30:L31)</f>
        <v>0</v>
      </c>
      <c r="M32" s="271"/>
      <c r="N32" s="271">
        <f>SUM(N30:N31)</f>
        <v>4446.04</v>
      </c>
      <c r="O32" s="271"/>
      <c r="P32" s="271">
        <f>SUM(P30:P31)</f>
        <v>10212.075000000001</v>
      </c>
      <c r="Q32" s="271"/>
      <c r="R32" s="271">
        <f t="shared" ref="R32" si="21">SUM(R30:R31)</f>
        <v>4549.9750000000004</v>
      </c>
      <c r="S32" s="147"/>
      <c r="T32" s="272">
        <f>SUM(T30:T31)</f>
        <v>0</v>
      </c>
      <c r="U32" s="272">
        <f>SUM(U30:U31)</f>
        <v>0</v>
      </c>
      <c r="V32" s="272">
        <f t="shared" ref="V32:W32" si="22">SUM(V30:V31)</f>
        <v>2083.6446680609461</v>
      </c>
      <c r="W32" s="272">
        <f t="shared" si="22"/>
        <v>2466.3303319390538</v>
      </c>
      <c r="X32" s="147"/>
      <c r="Y32" s="148">
        <f>SUM(Y30:Y31)</f>
        <v>0</v>
      </c>
      <c r="Z32" s="148">
        <f t="shared" ref="Z32:AB32" si="23">SUM(Z30:Z31)</f>
        <v>0</v>
      </c>
      <c r="AA32" s="148">
        <f t="shared" si="23"/>
        <v>6529.684668060946</v>
      </c>
      <c r="AB32" s="149">
        <f t="shared" si="23"/>
        <v>12678.405331939053</v>
      </c>
    </row>
    <row r="33" spans="2:41" ht="15.75" thickBot="1" x14ac:dyDescent="0.3">
      <c r="B33" s="150" t="s">
        <v>137</v>
      </c>
      <c r="C33" s="154"/>
      <c r="D33" s="152"/>
      <c r="E33" s="266">
        <v>48.56</v>
      </c>
      <c r="F33" s="153"/>
      <c r="G33" s="153"/>
      <c r="H33" s="153"/>
      <c r="I33" s="267"/>
      <c r="J33" s="267">
        <f>$E$33*J30/$E$30</f>
        <v>0</v>
      </c>
      <c r="K33" s="267"/>
      <c r="L33" s="267">
        <f>$E$33*L30/$E$30</f>
        <v>0</v>
      </c>
      <c r="M33" s="267"/>
      <c r="N33" s="267">
        <f>$E$33*N30/$E$30</f>
        <v>11.240040128924846</v>
      </c>
      <c r="O33" s="267"/>
      <c r="P33" s="267">
        <f>$E$33*P30/$E$30</f>
        <v>25.8171615189225</v>
      </c>
      <c r="Q33" s="267"/>
      <c r="R33" s="267">
        <f>$E$33*R30/$E$30</f>
        <v>11.502798352152661</v>
      </c>
      <c r="S33" s="268"/>
      <c r="T33" s="269">
        <f>$R$33*T30/$R$30</f>
        <v>0</v>
      </c>
      <c r="U33" s="269">
        <f>$R$33*U30/$R$30</f>
        <v>0</v>
      </c>
      <c r="V33" s="269">
        <f t="shared" ref="V33:W33" si="24">$R$33*V30/$R$30</f>
        <v>5.2676650870044632</v>
      </c>
      <c r="W33" s="269">
        <f t="shared" si="24"/>
        <v>6.2351332651481979</v>
      </c>
      <c r="X33" s="268"/>
      <c r="Y33" s="267">
        <f>$R$33*Y30/$R$30</f>
        <v>0</v>
      </c>
      <c r="Z33" s="267">
        <f t="shared" ref="Z33:AB33" si="25">$R$33*Z30/$R$30</f>
        <v>0</v>
      </c>
      <c r="AA33" s="267">
        <f t="shared" si="25"/>
        <v>16.50770521592931</v>
      </c>
      <c r="AB33" s="270">
        <f t="shared" si="25"/>
        <v>32.052294784070696</v>
      </c>
    </row>
    <row r="34" spans="2:41" ht="15.75" thickBot="1" x14ac:dyDescent="0.3">
      <c r="B34" s="219" t="s">
        <v>138</v>
      </c>
      <c r="C34" s="147"/>
      <c r="D34" s="147"/>
      <c r="E34" s="147">
        <v>0</v>
      </c>
      <c r="F34" s="147"/>
      <c r="G34" s="147"/>
      <c r="H34" s="147"/>
      <c r="I34" s="271"/>
      <c r="J34" s="271">
        <f>$E$34*J30/$E$30</f>
        <v>0</v>
      </c>
      <c r="K34" s="271"/>
      <c r="L34" s="271">
        <f>$E$34*L30/$E$30</f>
        <v>0</v>
      </c>
      <c r="M34" s="271"/>
      <c r="N34" s="271">
        <f>$E$34*N30/$E$30</f>
        <v>0</v>
      </c>
      <c r="O34" s="271"/>
      <c r="P34" s="271">
        <f>$E$34*P30/$E$30</f>
        <v>0</v>
      </c>
      <c r="Q34" s="271"/>
      <c r="R34" s="271">
        <f>$E$34*R30/$E$30</f>
        <v>0</v>
      </c>
      <c r="S34" s="147"/>
      <c r="T34" s="272">
        <v>0</v>
      </c>
      <c r="U34" s="272">
        <v>0</v>
      </c>
      <c r="V34" s="272">
        <v>0</v>
      </c>
      <c r="W34" s="272">
        <v>0</v>
      </c>
      <c r="X34" s="147"/>
      <c r="Y34" s="271">
        <f>$R$34*Y30/$R$30</f>
        <v>0</v>
      </c>
      <c r="Z34" s="271">
        <f t="shared" ref="Z34:AB34" si="26">$R$34*Z30/$R$30</f>
        <v>0</v>
      </c>
      <c r="AA34" s="271">
        <f t="shared" si="26"/>
        <v>0</v>
      </c>
      <c r="AB34" s="273">
        <f t="shared" si="26"/>
        <v>0</v>
      </c>
    </row>
    <row r="35" spans="2:41" x14ac:dyDescent="0.25">
      <c r="B35" s="155" t="s">
        <v>139</v>
      </c>
      <c r="C35" s="220">
        <v>0.2</v>
      </c>
      <c r="D35" s="156"/>
      <c r="E35" s="274">
        <f>E32*C35</f>
        <v>3841.6180000000004</v>
      </c>
      <c r="N35" s="157"/>
      <c r="O35" s="157"/>
      <c r="P35" s="157"/>
      <c r="Q35" s="157"/>
      <c r="R35" s="157"/>
      <c r="AO35" s="275"/>
    </row>
    <row r="36" spans="2:41" ht="15.75" thickBot="1" x14ac:dyDescent="0.3">
      <c r="B36" s="158" t="s">
        <v>140</v>
      </c>
      <c r="C36" s="159"/>
      <c r="D36" s="160"/>
      <c r="E36" s="221">
        <f>SUM(E32,E35)</f>
        <v>23049.707999999999</v>
      </c>
      <c r="N36" s="157"/>
      <c r="O36" s="157"/>
      <c r="P36" s="157"/>
      <c r="Q36" s="157"/>
      <c r="R36" s="157"/>
      <c r="AN36" s="239"/>
    </row>
    <row r="37" spans="2:41" x14ac:dyDescent="0.25">
      <c r="N37" s="157"/>
      <c r="O37" s="157"/>
      <c r="P37" s="157"/>
      <c r="Q37" s="157"/>
      <c r="R37" s="157"/>
    </row>
    <row r="38" spans="2:41" x14ac:dyDescent="0.25">
      <c r="N38" s="157"/>
      <c r="O38" s="157"/>
      <c r="P38" s="157"/>
      <c r="Q38" s="157"/>
      <c r="R38" s="157"/>
    </row>
    <row r="39" spans="2:41" x14ac:dyDescent="0.25">
      <c r="N39" s="157"/>
      <c r="O39" s="157"/>
      <c r="P39" s="157"/>
      <c r="Q39" s="157"/>
      <c r="R39" s="157"/>
    </row>
    <row r="40" spans="2:41" x14ac:dyDescent="0.25">
      <c r="N40" s="157"/>
      <c r="O40" s="157"/>
      <c r="P40" s="157"/>
      <c r="Q40" s="157"/>
      <c r="R40" s="157"/>
    </row>
    <row r="41" spans="2:41" x14ac:dyDescent="0.25">
      <c r="N41" s="157"/>
      <c r="O41" s="157"/>
      <c r="P41" s="157"/>
      <c r="Q41" s="157"/>
      <c r="R41" s="157"/>
    </row>
    <row r="42" spans="2:41" x14ac:dyDescent="0.25">
      <c r="N42" s="157"/>
      <c r="O42" s="157"/>
      <c r="P42" s="157"/>
      <c r="Q42" s="157"/>
      <c r="R42" s="157"/>
    </row>
    <row r="43" spans="2:41" x14ac:dyDescent="0.25">
      <c r="N43" s="157"/>
      <c r="O43" s="157"/>
      <c r="P43" s="157"/>
      <c r="Q43" s="157"/>
      <c r="R43" s="157"/>
    </row>
    <row r="66" spans="9:13" x14ac:dyDescent="0.25">
      <c r="I66" s="122"/>
      <c r="J66" s="122"/>
      <c r="K66" s="122"/>
      <c r="L66" s="122"/>
      <c r="M66" s="122"/>
    </row>
  </sheetData>
  <mergeCells count="4">
    <mergeCell ref="B4:G4"/>
    <mergeCell ref="I4:R4"/>
    <mergeCell ref="T4:W4"/>
    <mergeCell ref="Y4:AB4"/>
  </mergeCells>
  <conditionalFormatting sqref="V6:W6">
    <cfRule type="expression" dxfId="18" priority="15">
      <formula>AND($BC8&lt;&gt;"",$BL8="")</formula>
    </cfRule>
    <cfRule type="expression" dxfId="17" priority="16">
      <formula>$BC8&lt;&gt;""</formula>
    </cfRule>
  </conditionalFormatting>
  <conditionalFormatting sqref="AD7 AF7:AK7 AD8:AK9">
    <cfRule type="expression" dxfId="16" priority="13">
      <formula>AND($AU7&lt;&gt;"",$BD7="")</formula>
    </cfRule>
    <cfRule type="expression" dxfId="15" priority="14">
      <formula>$AU7&lt;&gt;""</formula>
    </cfRule>
  </conditionalFormatting>
  <conditionalFormatting sqref="AI15:AK20">
    <cfRule type="expression" dxfId="14" priority="11">
      <formula>AND($AU15&lt;&gt;"",$BD15="")</formula>
    </cfRule>
    <cfRule type="expression" dxfId="13" priority="12">
      <formula>$AU15&lt;&gt;""</formula>
    </cfRule>
  </conditionalFormatting>
  <conditionalFormatting sqref="AA6:AB6">
    <cfRule type="expression" dxfId="12" priority="9">
      <formula>AND($BC8&lt;&gt;"",$BL8="")</formula>
    </cfRule>
    <cfRule type="expression" dxfId="11" priority="10">
      <formula>$BC8&lt;&gt;""</formula>
    </cfRule>
  </conditionalFormatting>
  <conditionalFormatting sqref="Y6:Z6">
    <cfRule type="expression" dxfId="10" priority="7">
      <formula>AND($BC8&lt;&gt;"",$BL8="")</formula>
    </cfRule>
    <cfRule type="expression" dxfId="9" priority="8">
      <formula>$BC8&lt;&gt;""</formula>
    </cfRule>
  </conditionalFormatting>
  <conditionalFormatting sqref="H7">
    <cfRule type="expression" dxfId="8" priority="17">
      <formula>NOT($C$7=SUM($M$7,$O$7,$Q$7))</formula>
    </cfRule>
  </conditionalFormatting>
  <conditionalFormatting sqref="T6">
    <cfRule type="expression" dxfId="7" priority="5">
      <formula>AND($BC8&lt;&gt;"",$BL8="")</formula>
    </cfRule>
    <cfRule type="expression" dxfId="6" priority="6">
      <formula>$BC8&lt;&gt;""</formula>
    </cfRule>
  </conditionalFormatting>
  <conditionalFormatting sqref="U6">
    <cfRule type="expression" dxfId="5" priority="3">
      <formula>AND($BC8&lt;&gt;"",$BL8="")</formula>
    </cfRule>
    <cfRule type="expression" dxfId="4" priority="4">
      <formula>$BC8&lt;&gt;""</formula>
    </cfRule>
  </conditionalFormatting>
  <conditionalFormatting sqref="AE7">
    <cfRule type="expression" dxfId="3" priority="1">
      <formula>AND($AO7&lt;&gt;"",$AX7="")</formula>
    </cfRule>
    <cfRule type="expression" dxfId="2" priority="2">
      <formula>$AO7&lt;&gt;""</formula>
    </cfRule>
  </conditionalFormatting>
  <conditionalFormatting sqref="AD10:AK11 AD12:AL12">
    <cfRule type="expression" dxfId="1" priority="18">
      <formula>AND($AU11&lt;&gt;"",$BD11="")</formula>
    </cfRule>
    <cfRule type="expression" dxfId="0" priority="19">
      <formula>$AU11&lt;&gt;""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Lisa 6.1. C_ehitus</vt:lpstr>
      <vt:lpstr>Lisa 6.1 C_sisustus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 Telk</dc:creator>
  <cp:lastModifiedBy>Henri Telk</cp:lastModifiedBy>
  <dcterms:created xsi:type="dcterms:W3CDTF">2020-01-02T09:47:53Z</dcterms:created>
  <dcterms:modified xsi:type="dcterms:W3CDTF">2020-04-29T13:46:29Z</dcterms:modified>
</cp:coreProperties>
</file>